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WPF " sheetId="1" r:id="rId1"/>
    <sheet name="Załącznik nr 2 WPF " sheetId="2" r:id="rId2"/>
    <sheet name="kredyt" sheetId="3" r:id="rId3"/>
  </sheets>
  <definedNames>
    <definedName name="_xlnm.Print_Area" localSheetId="0">'WPF '!$A$1:$S$72</definedName>
    <definedName name="_xlnm.Print_Area" localSheetId="1">'Załącznik nr 2 WPF '!$A$1:$P$77</definedName>
    <definedName name="_xlnm.Print_Titles" localSheetId="0">'WPF '!$8:$8</definedName>
  </definedNames>
  <calcPr fullCalcOnLoad="1"/>
</workbook>
</file>

<file path=xl/sharedStrings.xml><?xml version="1.0" encoding="utf-8"?>
<sst xmlns="http://schemas.openxmlformats.org/spreadsheetml/2006/main" count="297" uniqueCount="208">
  <si>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</si>
  <si>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</si>
  <si>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</si>
  <si>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</si>
  <si>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</si>
  <si>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</si>
  <si>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</si>
  <si>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</si>
  <si>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</si>
  <si>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</si>
  <si>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</si>
  <si>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</si>
  <si>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</si>
  <si>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</si>
  <si>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</si>
  <si>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</si>
  <si>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Finansowanie deficytu</t>
  </si>
  <si>
    <t>Przeznaczenie nadwyżki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</si>
  <si>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</si>
  <si>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</si>
  <si>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</si>
  <si>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</si>
  <si>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</si>
  <si>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</si>
  <si>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</si>
  <si>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</si>
  <si>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</si>
  <si>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</si>
  <si>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</si>
  <si>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</si>
  <si>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VI</t>
  </si>
  <si>
    <t>VII</t>
  </si>
  <si>
    <t>VIII</t>
  </si>
  <si>
    <t>Lp.</t>
  </si>
  <si>
    <t>Jednostka organizacyjna odpowiedzialna za realizację lub koordynująca wykonywanie przedsięwzięcia</t>
  </si>
  <si>
    <t>x</t>
  </si>
  <si>
    <t>Nazwa i cel przedsięwzięcia</t>
  </si>
  <si>
    <t>IX</t>
  </si>
  <si>
    <t>sprzedaż majątku</t>
  </si>
  <si>
    <t>wynagrodzenia i składki od nich naliczane</t>
  </si>
  <si>
    <t>X</t>
  </si>
  <si>
    <t>spłata długu</t>
  </si>
  <si>
    <t>spłata zaciągniętęgo długu</t>
  </si>
  <si>
    <t>XI</t>
  </si>
  <si>
    <t>XII</t>
  </si>
  <si>
    <t>Wynik budżetu z uwzględnieniem przychodów i rozchodów (poz. III + poz. IV - poz. V)</t>
  </si>
  <si>
    <t>VII a</t>
  </si>
  <si>
    <t>VII b</t>
  </si>
  <si>
    <t>XIII</t>
  </si>
  <si>
    <t>obsługa długu (odsetki)</t>
  </si>
  <si>
    <t>Łączne nakłady finansowe</t>
  </si>
  <si>
    <t>Przedsięwzięcia (wieloletnie poręczenia i gwarancje) - jak w załączniku nr 2</t>
  </si>
  <si>
    <t xml:space="preserve">Przedsięwzięcia (programy, projekty, zadania wieloletnie) - jak w załączniku nr 2 </t>
  </si>
  <si>
    <t>gwarancje i poręczenia jednoroczne</t>
  </si>
  <si>
    <t>wynik budżetu (+nadwyżka; - deficyt) (poz. I - poz. II)</t>
  </si>
  <si>
    <t xml:space="preserve">dług spłacany z nadwyżki budżetowej, nadwyżki z lat poprzednich, spłacanych pożyczek i wolnych środków (pomniejszonych o pożyczki do udzielenia) </t>
  </si>
  <si>
    <t>XIV</t>
  </si>
  <si>
    <t>Wykonanie na 31.12.2008r.</t>
  </si>
  <si>
    <t>Wykonanie na 31.12.2009r.</t>
  </si>
  <si>
    <t>Plan na 30.09.2010r.</t>
  </si>
  <si>
    <t>Limit zobowiązań</t>
  </si>
  <si>
    <t>I.</t>
  </si>
  <si>
    <t>A</t>
  </si>
  <si>
    <t>B</t>
  </si>
  <si>
    <t>C</t>
  </si>
  <si>
    <t>D</t>
  </si>
  <si>
    <t>Gwarancje i poręcznia udzielane przez jednostki samorządu terytorialnego, w tym:</t>
  </si>
  <si>
    <t>II.</t>
  </si>
  <si>
    <t>III.</t>
  </si>
  <si>
    <t>SUMA ( poz. I +poz. II)</t>
  </si>
  <si>
    <r>
      <t xml:space="preserve">Przedsięwzięcia w ramach </t>
    </r>
    <r>
      <rPr>
        <b/>
        <u val="single"/>
        <sz val="12"/>
        <rFont val="Arial"/>
        <family val="2"/>
      </rPr>
      <t>wydatków bieżacych</t>
    </r>
    <r>
      <rPr>
        <b/>
        <sz val="10"/>
        <rFont val="Arial"/>
        <family val="2"/>
      </rPr>
      <t xml:space="preserve">, o których mowa w art. 226, ust. 4 pkt 1,2 i 3 ufp, w tym: </t>
    </r>
  </si>
  <si>
    <r>
      <t xml:space="preserve">Przedsięwzięcia w ramach </t>
    </r>
    <r>
      <rPr>
        <b/>
        <u val="single"/>
        <sz val="12"/>
        <rFont val="Arial"/>
        <family val="2"/>
      </rPr>
      <t>wydatków majątkowych</t>
    </r>
    <r>
      <rPr>
        <b/>
        <sz val="10"/>
        <rFont val="Arial"/>
        <family val="2"/>
      </rPr>
      <t xml:space="preserve">, o których mowa w art. 226, ust. 4 pkt 1 ufp, w tym: </t>
    </r>
  </si>
  <si>
    <t>dług do spłaty w danym roku, w tym:</t>
  </si>
  <si>
    <t>Umorzenia pożyczek i kredytów</t>
  </si>
  <si>
    <t>dług spłacany nowozaciąganym długiem (kredytem, pożyczką, obligacjami)</t>
  </si>
  <si>
    <t>Załącznik Nr 2 do Uchwały</t>
  </si>
  <si>
    <t>Okres realizacji od - do</t>
  </si>
  <si>
    <t>Umowy wieloletnie, których realizacja jest niezbędna do zapewnienia ciągłości działania jednostek, w tym:</t>
  </si>
  <si>
    <t>Plan na 2011r.</t>
  </si>
  <si>
    <t>Plan na 2012r.</t>
  </si>
  <si>
    <t>Plan na 2013r.</t>
  </si>
  <si>
    <t>Plan na 2014r.</t>
  </si>
  <si>
    <t>Plan na 2015r.</t>
  </si>
  <si>
    <t>Plan na 2016r.</t>
  </si>
  <si>
    <t>Plan na 2017r.</t>
  </si>
  <si>
    <t>Plan na 2018r.</t>
  </si>
  <si>
    <t>Plan na 2019r.</t>
  </si>
  <si>
    <t>Plan na 2020r.</t>
  </si>
  <si>
    <t>Plan na 2021r.</t>
  </si>
  <si>
    <t>Plan na 2022r.</t>
  </si>
  <si>
    <t>Plan na 2023r.</t>
  </si>
  <si>
    <t>Plan na 2024r.</t>
  </si>
  <si>
    <t xml:space="preserve">Przedsięwzięcia (projekty, programy, zadania wieloletnie z udziałem środków UE) - jak w załączniku nr 2 </t>
  </si>
  <si>
    <t xml:space="preserve">Przedsięwzięcia (umowy wieloletnie dla zapewnienia ciągłości działania jednostki) - jak w załączniku nr 2 </t>
  </si>
  <si>
    <t xml:space="preserve">pozostałe wydatki dotyczące realizacji zadań statutowych jedn. organ. </t>
  </si>
  <si>
    <t>Sposób sfinansowania długu w poszczególnych latach</t>
  </si>
  <si>
    <t>I część wzoru - Obciążenia spłatami wg art. 243 u.f.p (Spłata rat kredytów i pożyczek oraz wykup papierów wartościowych + odsetki + potencjalna spłata kwot wynikających z udzielonych poręczeń i gwarancji) / dochody ogółem danego roku</t>
  </si>
  <si>
    <t>XV</t>
  </si>
  <si>
    <t>XVI</t>
  </si>
  <si>
    <t>Relacja o ktorej mowa w art. 243  ustawy z dnia 27 sierpnia 2009r o finansach publicznych - nie może być ze znakiem "minus" (poz. XIV - poz. XII)</t>
  </si>
  <si>
    <t>Limit wydatków w poszczególnych latach</t>
  </si>
  <si>
    <t>6</t>
  </si>
  <si>
    <t xml:space="preserve">pozostałe wydatki majatkowe jednoroczne </t>
  </si>
  <si>
    <t xml:space="preserve">w tym: podlegające wyłączeniu kredyty, pożyczki i obligacje przeznaczone na wyprzedzające  finansowanie działań z udziałem środków pochodzących z budżetu UE </t>
  </si>
  <si>
    <t>w tym: podlegająca wyłączeniu spłata kredytów, pożyczek i obligacji przeznaczonych na wyprzedzające  finansowanie działań z udziałem środków pochodzących z budżetu UE</t>
  </si>
  <si>
    <t>w tym: podlegające wyłączeniu kredyty, pożyczki i obligacje zaciągnięte na wyprzedzające  finansowanie działań z udziałem środków pochodzących z budżetu UE</t>
  </si>
  <si>
    <t>Prognoza długu na koniec roku</t>
  </si>
  <si>
    <t>Relacja z art. 169 ustawy o finansach publicznych z dnia 30 czerwca 2005r o finansach publicznych, po wyłączeniach  (max 15%)</t>
  </si>
  <si>
    <t>Relacja z art. 170 ustawy o finansach publicznych z dnia 30 czerwca 2005r o finansach publicznych, po wyłączeniach  (max 60%)</t>
  </si>
  <si>
    <t xml:space="preserve"> II część wzoru - Średnia arytmetyczna z trzech ostatnich lat, o której mowa w art. 243 ustawy z 27 sierpnia 2009r.o finansach publicznych (indywidualny limit zadłużenia)</t>
  </si>
  <si>
    <r>
      <t xml:space="preserve">Relacja bazowa do wyliczenia indywidualnego limitu zadłużenia (Dochody bieżące + sprzedaż majątku - </t>
    </r>
    <r>
      <rPr>
        <sz val="10"/>
        <color indexed="10"/>
        <rFont val="Arial CE"/>
        <family val="0"/>
      </rPr>
      <t>wydatki bieżące</t>
    </r>
    <r>
      <rPr>
        <sz val="10"/>
        <rFont val="Arial CE"/>
        <family val="0"/>
      </rPr>
      <t>) / dochody ogółem dla danego roku</t>
    </r>
  </si>
  <si>
    <t>Relacja z art. 242 ust. 1 ufp (Dochody bieżące + nadwyżka budżetowa z lat poprzednich + wolne środki - wydatki bieżące)</t>
  </si>
  <si>
    <t>Pozostałe wieloletnie programy, projekty lub zadania, w tym:</t>
  </si>
  <si>
    <t>programy, projekty lub zadania, z udziałem środków, o których mowa w art. 5 ust. 1 pkt 2 i 3 (UE),  w tym:</t>
  </si>
  <si>
    <t>programy, projekty lub zadania zawarte na podstawie umów o partnerstwie publiczno-prywatnym, w tym:</t>
  </si>
  <si>
    <t>Programy, projekty lub zadania z udziałem środków, o których mowa w art. 5 ust. 1 pkt 2 i 3 (UE), w tym:</t>
  </si>
  <si>
    <t>Programy, projekty lub zadania zawarte na podstawie umów o partnerstwie publiczno-prywatnym, w tym:</t>
  </si>
  <si>
    <t>2007-2011</t>
  </si>
  <si>
    <t>lp</t>
  </si>
  <si>
    <t>rok</t>
  </si>
  <si>
    <t>wysokość zadłużenia na 1.01.</t>
  </si>
  <si>
    <t>wysokość raty na 31.05</t>
  </si>
  <si>
    <t>wysokość zadłużenia po spłacie I raty</t>
  </si>
  <si>
    <t>wysokość raty na 31.07</t>
  </si>
  <si>
    <t>wysokość zadłużenia po spłacie II raty</t>
  </si>
  <si>
    <t>wysokość raty na 30.09</t>
  </si>
  <si>
    <t>wysokość zadłużenia po spłacie III raty</t>
  </si>
  <si>
    <t>wysokość raty na 31.12</t>
  </si>
  <si>
    <t>wysokość zadłużenia po spłacie IV raty</t>
  </si>
  <si>
    <t>odsetki za okres 1.01-31.01</t>
  </si>
  <si>
    <t>odsetki za okres 1.02-28.02</t>
  </si>
  <si>
    <t>odsetki za okres 1.03-31.03</t>
  </si>
  <si>
    <t>odsetki za okres 1.01-30.04</t>
  </si>
  <si>
    <t>odsetki za okres 1.05-31.05</t>
  </si>
  <si>
    <t>odsetki za okres 1.06-30.06</t>
  </si>
  <si>
    <t>odsetki za okres 1.07-31.07</t>
  </si>
  <si>
    <t>odsetki za okres 1.08-31.08</t>
  </si>
  <si>
    <t>odsetki za okres 1.09-30.09</t>
  </si>
  <si>
    <t>odsetki za okres 1.10-31.10</t>
  </si>
  <si>
    <t>odsetki za okres 1.11-30.11</t>
  </si>
  <si>
    <t>odsetki za okres 1.12- 31.12</t>
  </si>
  <si>
    <t>Razem odsetki</t>
  </si>
  <si>
    <t>Razem zadłżenie w danym roku</t>
  </si>
  <si>
    <t>Założenia :</t>
  </si>
  <si>
    <t xml:space="preserve">spłata kredytu w 15 ratach </t>
  </si>
  <si>
    <t>uruchomienie kredytu:</t>
  </si>
  <si>
    <t xml:space="preserve"> </t>
  </si>
  <si>
    <t>31.12.2014</t>
  </si>
  <si>
    <t>31.12.2011</t>
  </si>
  <si>
    <t>31.12.2012</t>
  </si>
  <si>
    <t>31.12.2013</t>
  </si>
  <si>
    <t>karencja kredytu do konca roku...2011..12, 13</t>
  </si>
  <si>
    <t>oprocentowanie  kredytu 5,5% (WIBOR.1 m-czne z ostatnich 4 dni rob0czych m-ca poprzedz.miesiąc4 - 4,0 +marża 1,5)</t>
  </si>
  <si>
    <t>2010-2014</t>
  </si>
  <si>
    <t xml:space="preserve">Umowa poręczenia kredytu dla Powiślańskiej Lokalnej  Grupy Działania w Górkach </t>
  </si>
  <si>
    <t>Gmina Kwidzyn</t>
  </si>
  <si>
    <t>Gmina kwidzyn</t>
  </si>
  <si>
    <t>Partycypacja w  kosztach spłat zobowiązań finansowych, zaciągniętych przez Miasto Kwidzyn na realizację ZGO w Gilwie Małej</t>
  </si>
  <si>
    <t>Rady Gminy Kwidzyn</t>
  </si>
  <si>
    <t>2003-2019</t>
  </si>
  <si>
    <t>WIELOLETNIA PROGNOZA FINANSOWA GMINY KWIDZYN  NA LATA 2011-2021</t>
  </si>
  <si>
    <t>Ochotnicza Straż Pożarna Tychnowy</t>
  </si>
  <si>
    <t>2011-2016</t>
  </si>
  <si>
    <t>2011-2013</t>
  </si>
  <si>
    <t>Uzbrojenie terenów pod inwestycje mieszkaniowe w Dankowie rozdział 01010</t>
  </si>
  <si>
    <t>Budowa zbiorczej kanalizacji sanitarnej we wsiach Kamionka, Brokowo z podłączeniem do Miasta Kwidzyna rozdział 01010</t>
  </si>
  <si>
    <t>Uzbrojenie terenów inwestycyjnych w Górkach i Rozpędzinach - projekt rozdział 01010</t>
  </si>
  <si>
    <t>Budowa ciągu pieszo-rowerowego Kwidzyn- Rozpędziny rozdział 60016</t>
  </si>
  <si>
    <t>2008-2013</t>
  </si>
  <si>
    <t>Budowa ścieżek pieszo-rowerowych Baldram Tychnowy do obwodnicy w kierunku Brachlewa rozdz. 60016</t>
  </si>
  <si>
    <t>Budowa dróg osiedlowych w Marezie rozd. 60016</t>
  </si>
  <si>
    <t>2009-2012</t>
  </si>
  <si>
    <t>2010-2011</t>
  </si>
  <si>
    <t>Budowa mostu w Podzamczu rozdz. 60016</t>
  </si>
  <si>
    <t>Modernizacja drogi osiedlowej w Gurczu rozdz. 60016</t>
  </si>
  <si>
    <t>Narodowy Program Przebudowy Dróg Lokalnych  rozdz.60016</t>
  </si>
  <si>
    <t>2009-2011</t>
  </si>
  <si>
    <t>Udzielenie pomocy finansowej dla Powiatu kwidzyńskiego na realizację zadania "Przebudowa drogi powiatowej Kwidzyn- Trzciano-Straszewo w ramach NPPDL" rozd. 60016</t>
  </si>
  <si>
    <t>Budownictwo socjalne rozdz. 70004</t>
  </si>
  <si>
    <t>Spłata za zakupiony budynek po hydrofornii i adaptacja na remizę OSP w Rakowcu rozdz. 70005</t>
  </si>
  <si>
    <t>2004-2014</t>
  </si>
  <si>
    <t>2011-2012</t>
  </si>
  <si>
    <t xml:space="preserve">Remont budynku ul.Grudziądzka 30 rozdz. 70005 </t>
  </si>
  <si>
    <t>Budowa hali sportowe przy Szkole Podstawowej w Rakowcu dokumentacja rozdz. 80101</t>
  </si>
  <si>
    <t>Modernizacja oświetlenia ulicznego w gminie na energooszczędne i rozbudowa istniejącej sieci oświetlenia ulicznego na obszarach nowo zabudowanych rozdz.90015</t>
  </si>
  <si>
    <t>2011-2015</t>
  </si>
  <si>
    <t>2008-2014</t>
  </si>
  <si>
    <t>Teromodernizacja bazy oświatowej ( SP Korzeniewo i Janowo) rozdz. 90019</t>
  </si>
  <si>
    <t>2008-2011</t>
  </si>
  <si>
    <t>Budowa ścieżek pieszo-rowerowych na szlakach turystycznych w Gminie Kwidzynrozdz. 60016</t>
  </si>
  <si>
    <t>Budowa kanalizacji sanitarnej Podzamcze -Gurcz  rozd.90019</t>
  </si>
  <si>
    <t>Budowa terenów rekreacyjno sportowych wmsc: Kamionka , Licze, Rozpędziny i Tychnowy rozdz. 92695</t>
  </si>
  <si>
    <t>kredyt/obligacje na 10lat</t>
  </si>
  <si>
    <t>spłata kredytu w terminie do 31.12.2021r.</t>
  </si>
  <si>
    <t>WYKAZ PRZEDSIĘWZIĘĆ DO WIELOLETNIEJ PROGNOZY FINANSOWEJ NA LATA 2011 - 2021</t>
  </si>
  <si>
    <t>Budowa wodociągu w Korzeniewie rozdz. 01010</t>
  </si>
  <si>
    <t>Uzbrojenie terenu przy ul.Leśnej w Rakowcu w sieć wodociągową rozdz. 01010</t>
  </si>
  <si>
    <t xml:space="preserve">II Kredyt/obligacje na sfinasowanie wydatkow majatkowych 2011-2021 oraz spłaty zadluzenia w kwocie </t>
  </si>
  <si>
    <t>z dnia 26 stycznia 2011r.</t>
  </si>
  <si>
    <t>Przewidywane wykonanie  2010r.</t>
  </si>
  <si>
    <t xml:space="preserve">  plan po zmianach</t>
  </si>
  <si>
    <t>Nr III/ 10   /11</t>
  </si>
  <si>
    <t xml:space="preserve">plan po zmianach </t>
  </si>
  <si>
    <t>Rozbudowa systemu kanalizacji sanitarnej na terenach zachodnich gminy Kwidzyn - etap I  Janowo - Szałwinek rozdz. 01010</t>
  </si>
  <si>
    <t>Rozbudowa systemu kanalizacji sanitarnej na terenach zachodnich gminy Kwidzyn - etap II   Rozpędziny rozdz. 01010</t>
  </si>
  <si>
    <t>wydatki związane z funkcjonowaniem organów j.s.t. (rada gminy i urząd gminy)</t>
  </si>
  <si>
    <t>z dnia 25 marca 2011r.</t>
  </si>
  <si>
    <t>zał. Nr 1 do Uchwały Nr V / 23 /11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</si>
</sst>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0"/>
    <numFmt numFmtId="166" formatCode="#,##0.0"/>
    <numFmt numFmtId="167" formatCode="0.0"/>
    <numFmt numFmtId="168" formatCode="0.000%"/>
    <numFmt numFmtId="169" formatCode="0.0000"/>
    <numFmt numFmtId="170" formatCode="00\-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000"/>
  </numFmts>
  <fonts count="37">
    <font>
      <sz val="10"/>
      <name val="Arial CE"/>
      <family val="0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12"/>
      <name val="Arial CE"/>
      <family val="0"/>
    </font>
    <font>
      <b/>
      <sz val="10"/>
      <color indexed="10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b/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9" fillId="4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19" fillId="0" borderId="13" xfId="0" applyNumberFormat="1" applyFont="1" applyBorder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9" fillId="4" borderId="16" xfId="0" applyNumberFormat="1" applyFont="1" applyFill="1" applyBorder="1" applyAlignment="1">
      <alignment horizontal="right" vertical="center"/>
    </xf>
    <xf numFmtId="3" fontId="19" fillId="4" borderId="17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0" fillId="22" borderId="13" xfId="0" applyNumberFormat="1" applyFill="1" applyBorder="1" applyAlignment="1">
      <alignment horizontal="right" vertical="center"/>
    </xf>
    <xf numFmtId="3" fontId="19" fillId="4" borderId="13" xfId="0" applyNumberFormat="1" applyFont="1" applyFill="1" applyBorder="1" applyAlignment="1">
      <alignment horizontal="right" vertical="center"/>
    </xf>
    <xf numFmtId="3" fontId="19" fillId="4" borderId="18" xfId="0" applyNumberFormat="1" applyFont="1" applyFill="1" applyBorder="1" applyAlignment="1">
      <alignment horizontal="right" vertical="center"/>
    </xf>
    <xf numFmtId="3" fontId="19" fillId="4" borderId="14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/>
    </xf>
    <xf numFmtId="3" fontId="0" fillId="22" borderId="18" xfId="0" applyNumberFormat="1" applyFill="1" applyBorder="1" applyAlignment="1">
      <alignment horizontal="right" vertical="center"/>
    </xf>
    <xf numFmtId="3" fontId="0" fillId="22" borderId="14" xfId="0" applyNumberFormat="1" applyFill="1" applyBorder="1" applyAlignment="1">
      <alignment horizontal="right" vertical="center"/>
    </xf>
    <xf numFmtId="10" fontId="19" fillId="0" borderId="13" xfId="0" applyNumberFormat="1" applyFont="1" applyBorder="1" applyAlignment="1">
      <alignment horizontal="right" vertical="center"/>
    </xf>
    <xf numFmtId="3" fontId="19" fillId="24" borderId="19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0" fontId="19" fillId="0" borderId="20" xfId="0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51">
      <alignment/>
      <protection/>
    </xf>
    <xf numFmtId="0" fontId="24" fillId="0" borderId="13" xfId="51" applyFont="1" applyBorder="1" applyAlignment="1">
      <alignment horizontal="center" vertical="center"/>
      <protection/>
    </xf>
    <xf numFmtId="0" fontId="24" fillId="0" borderId="13" xfId="51" applyFont="1" applyBorder="1" applyAlignment="1">
      <alignment horizontal="center" vertical="center" wrapText="1"/>
      <protection/>
    </xf>
    <xf numFmtId="0" fontId="22" fillId="0" borderId="0" xfId="51" applyFont="1">
      <alignment/>
      <protection/>
    </xf>
    <xf numFmtId="0" fontId="21" fillId="0" borderId="13" xfId="51" applyBorder="1" applyAlignment="1">
      <alignment horizontal="center" vertical="center"/>
      <protection/>
    </xf>
    <xf numFmtId="0" fontId="23" fillId="25" borderId="13" xfId="51" applyFont="1" applyFill="1" applyBorder="1" applyAlignment="1">
      <alignment horizontal="center" vertical="center"/>
      <protection/>
    </xf>
    <xf numFmtId="0" fontId="23" fillId="0" borderId="0" xfId="51" applyFont="1">
      <alignment/>
      <protection/>
    </xf>
    <xf numFmtId="0" fontId="23" fillId="20" borderId="13" xfId="51" applyFont="1" applyFill="1" applyBorder="1" applyAlignment="1">
      <alignment horizontal="center" vertical="center"/>
      <protection/>
    </xf>
    <xf numFmtId="3" fontId="23" fillId="20" borderId="13" xfId="51" applyNumberFormat="1" applyFont="1" applyFill="1" applyBorder="1" applyAlignment="1">
      <alignment horizontal="right" vertical="center"/>
      <protection/>
    </xf>
    <xf numFmtId="0" fontId="23" fillId="0" borderId="0" xfId="51" applyFont="1" applyAlignment="1">
      <alignment vertical="center"/>
      <protection/>
    </xf>
    <xf numFmtId="0" fontId="21" fillId="0" borderId="13" xfId="51" applyBorder="1" applyAlignment="1">
      <alignment horizontal="left" vertical="center" wrapText="1"/>
      <protection/>
    </xf>
    <xf numFmtId="0" fontId="21" fillId="0" borderId="13" xfId="51" applyBorder="1" applyAlignment="1">
      <alignment horizontal="center" vertical="center" wrapText="1"/>
      <protection/>
    </xf>
    <xf numFmtId="0" fontId="23" fillId="20" borderId="15" xfId="51" applyFont="1" applyFill="1" applyBorder="1" applyAlignment="1">
      <alignment horizontal="center" vertical="center"/>
      <protection/>
    </xf>
    <xf numFmtId="0" fontId="23" fillId="20" borderId="16" xfId="51" applyFont="1" applyFill="1" applyBorder="1" applyAlignment="1">
      <alignment horizontal="center" vertical="center"/>
      <protection/>
    </xf>
    <xf numFmtId="0" fontId="21" fillId="0" borderId="13" xfId="51" applyFont="1" applyBorder="1" applyAlignment="1">
      <alignment horizontal="center" vertical="center"/>
      <protection/>
    </xf>
    <xf numFmtId="0" fontId="21" fillId="0" borderId="0" xfId="51" applyAlignment="1">
      <alignment horizontal="right" vertical="center"/>
      <protection/>
    </xf>
    <xf numFmtId="0" fontId="21" fillId="0" borderId="0" xfId="51" applyFill="1" applyAlignment="1">
      <alignment horizontal="right" vertical="center"/>
      <protection/>
    </xf>
    <xf numFmtId="0" fontId="21" fillId="0" borderId="0" xfId="51" applyFill="1">
      <alignment/>
      <protection/>
    </xf>
    <xf numFmtId="0" fontId="23" fillId="20" borderId="22" xfId="51" applyFont="1" applyFill="1" applyBorder="1" applyAlignment="1">
      <alignment horizontal="center" vertical="center"/>
      <protection/>
    </xf>
    <xf numFmtId="0" fontId="26" fillId="25" borderId="13" xfId="51" applyFont="1" applyFill="1" applyBorder="1" applyAlignment="1">
      <alignment horizontal="center"/>
      <protection/>
    </xf>
    <xf numFmtId="0" fontId="27" fillId="0" borderId="0" xfId="51" applyFont="1">
      <alignment/>
      <protection/>
    </xf>
    <xf numFmtId="0" fontId="21" fillId="0" borderId="0" xfId="51" applyAlignment="1">
      <alignment horizontal="center"/>
      <protection/>
    </xf>
    <xf numFmtId="0" fontId="23" fillId="0" borderId="0" xfId="51" applyFont="1" applyAlignment="1">
      <alignment horizontal="center"/>
      <protection/>
    </xf>
    <xf numFmtId="3" fontId="19" fillId="4" borderId="12" xfId="0" applyNumberFormat="1" applyFont="1" applyFill="1" applyBorder="1" applyAlignment="1">
      <alignment horizontal="right" vertical="center" wrapText="1"/>
    </xf>
    <xf numFmtId="3" fontId="0" fillId="22" borderId="13" xfId="0" applyNumberFormat="1" applyFill="1" applyBorder="1" applyAlignment="1">
      <alignment horizontal="right" vertical="center" wrapText="1"/>
    </xf>
    <xf numFmtId="3" fontId="19" fillId="4" borderId="23" xfId="0" applyNumberFormat="1" applyFont="1" applyFill="1" applyBorder="1" applyAlignment="1">
      <alignment horizontal="center" vertical="center"/>
    </xf>
    <xf numFmtId="3" fontId="19" fillId="4" borderId="24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left" vertical="center"/>
    </xf>
    <xf numFmtId="3" fontId="0" fillId="22" borderId="13" xfId="0" applyNumberFormat="1" applyFill="1" applyBorder="1" applyAlignment="1">
      <alignment horizontal="left" vertical="center" wrapText="1"/>
    </xf>
    <xf numFmtId="3" fontId="19" fillId="4" borderId="11" xfId="0" applyNumberFormat="1" applyFont="1" applyFill="1" applyBorder="1" applyAlignment="1">
      <alignment horizontal="center" vertical="center"/>
    </xf>
    <xf numFmtId="3" fontId="19" fillId="4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 wrapText="1"/>
    </xf>
    <xf numFmtId="3" fontId="0" fillId="0" borderId="13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19" fillId="4" borderId="18" xfId="0" applyNumberFormat="1" applyFont="1" applyFill="1" applyBorder="1" applyAlignment="1">
      <alignment horizontal="left" vertical="center" textRotation="90"/>
    </xf>
    <xf numFmtId="3" fontId="19" fillId="4" borderId="12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Border="1" applyAlignment="1">
      <alignment horizontal="left" vertical="center" wrapText="1"/>
    </xf>
    <xf numFmtId="3" fontId="19" fillId="4" borderId="18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 wrapText="1"/>
    </xf>
    <xf numFmtId="3" fontId="0" fillId="0" borderId="12" xfId="0" applyNumberFormat="1" applyFill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/>
    </xf>
    <xf numFmtId="3" fontId="19" fillId="0" borderId="11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25" xfId="0" applyNumberFormat="1" applyFont="1" applyFill="1" applyBorder="1" applyAlignment="1">
      <alignment horizontal="center" vertical="center"/>
    </xf>
    <xf numFmtId="3" fontId="19" fillId="4" borderId="25" xfId="0" applyNumberFormat="1" applyFont="1" applyFill="1" applyBorder="1" applyAlignment="1">
      <alignment horizontal="center" vertical="center"/>
    </xf>
    <xf numFmtId="3" fontId="19" fillId="4" borderId="26" xfId="0" applyNumberFormat="1" applyFont="1" applyFill="1" applyBorder="1" applyAlignment="1">
      <alignment horizontal="right" vertical="center" wrapText="1"/>
    </xf>
    <xf numFmtId="3" fontId="19" fillId="4" borderId="22" xfId="0" applyNumberFormat="1" applyFont="1" applyFill="1" applyBorder="1" applyAlignment="1">
      <alignment horizontal="right" vertical="center"/>
    </xf>
    <xf numFmtId="3" fontId="19" fillId="0" borderId="27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/>
    </xf>
    <xf numFmtId="10" fontId="19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19" fillId="4" borderId="13" xfId="0" applyNumberFormat="1" applyFont="1" applyFill="1" applyBorder="1" applyAlignment="1">
      <alignment vertical="center"/>
    </xf>
    <xf numFmtId="3" fontId="19" fillId="4" borderId="13" xfId="0" applyNumberFormat="1" applyFont="1" applyFill="1" applyBorder="1" applyAlignment="1">
      <alignment horizontal="right" vertical="center" wrapText="1"/>
    </xf>
    <xf numFmtId="0" fontId="19" fillId="0" borderId="28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0" fillId="22" borderId="14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0" fontId="23" fillId="0" borderId="29" xfId="51" applyFont="1" applyBorder="1" applyAlignment="1">
      <alignment horizontal="center"/>
      <protection/>
    </xf>
    <xf numFmtId="0" fontId="23" fillId="0" borderId="0" xfId="51" applyFont="1" applyBorder="1" applyAlignment="1">
      <alignment horizontal="center"/>
      <protection/>
    </xf>
    <xf numFmtId="0" fontId="29" fillId="0" borderId="0" xfId="51" applyFont="1" applyBorder="1" applyAlignment="1">
      <alignment horizontal="left"/>
      <protection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5" fontId="0" fillId="0" borderId="26" xfId="0" applyNumberFormat="1" applyFont="1" applyFill="1" applyBorder="1" applyAlignment="1">
      <alignment horizontal="right" vertical="center" wrapText="1"/>
    </xf>
    <xf numFmtId="3" fontId="19" fillId="24" borderId="30" xfId="0" applyNumberFormat="1" applyFont="1" applyFill="1" applyBorder="1" applyAlignment="1">
      <alignment vertical="center"/>
    </xf>
    <xf numFmtId="3" fontId="19" fillId="24" borderId="19" xfId="0" applyNumberFormat="1" applyFont="1" applyFill="1" applyBorder="1" applyAlignment="1">
      <alignment horizontal="right" vertical="center" wrapText="1"/>
    </xf>
    <xf numFmtId="3" fontId="19" fillId="4" borderId="31" xfId="0" applyNumberFormat="1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left" vertical="center" wrapText="1"/>
    </xf>
    <xf numFmtId="0" fontId="23" fillId="25" borderId="22" xfId="51" applyFont="1" applyFill="1" applyBorder="1" applyAlignment="1">
      <alignment horizontal="center" vertical="center"/>
      <protection/>
    </xf>
    <xf numFmtId="3" fontId="23" fillId="25" borderId="22" xfId="51" applyNumberFormat="1" applyFont="1" applyFill="1" applyBorder="1" applyAlignment="1">
      <alignment horizontal="right" vertical="center"/>
      <protection/>
    </xf>
    <xf numFmtId="3" fontId="23" fillId="20" borderId="15" xfId="51" applyNumberFormat="1" applyFont="1" applyFill="1" applyBorder="1" applyAlignment="1">
      <alignment horizontal="right" vertical="center"/>
      <protection/>
    </xf>
    <xf numFmtId="3" fontId="23" fillId="25" borderId="13" xfId="51" applyNumberFormat="1" applyFont="1" applyFill="1" applyBorder="1" applyAlignment="1">
      <alignment horizontal="right" vertical="center"/>
      <protection/>
    </xf>
    <xf numFmtId="3" fontId="23" fillId="20" borderId="22" xfId="51" applyNumberFormat="1" applyFont="1" applyFill="1" applyBorder="1" applyAlignment="1">
      <alignment horizontal="right" vertical="center"/>
      <protection/>
    </xf>
    <xf numFmtId="3" fontId="26" fillId="25" borderId="13" xfId="51" applyNumberFormat="1" applyFont="1" applyFill="1" applyBorder="1" applyAlignment="1">
      <alignment horizontal="right" vertical="center"/>
      <protection/>
    </xf>
    <xf numFmtId="3" fontId="23" fillId="20" borderId="13" xfId="51" applyNumberFormat="1" applyFont="1" applyFill="1" applyBorder="1" applyAlignment="1">
      <alignment horizontal="right" vertical="center" wrapText="1"/>
      <protection/>
    </xf>
    <xf numFmtId="3" fontId="21" fillId="0" borderId="13" xfId="51" applyNumberFormat="1" applyBorder="1" applyAlignment="1">
      <alignment horizontal="right" vertical="center"/>
      <protection/>
    </xf>
    <xf numFmtId="3" fontId="21" fillId="0" borderId="13" xfId="51" applyNumberFormat="1" applyFill="1" applyBorder="1" applyAlignment="1">
      <alignment horizontal="right" vertical="center" wrapText="1"/>
      <protection/>
    </xf>
    <xf numFmtId="0" fontId="23" fillId="0" borderId="13" xfId="51" applyFont="1" applyBorder="1" applyAlignment="1">
      <alignment horizontal="center" vertical="center"/>
      <protection/>
    </xf>
    <xf numFmtId="3" fontId="21" fillId="0" borderId="13" xfId="51" applyNumberFormat="1" applyFont="1" applyFill="1" applyBorder="1" applyAlignment="1">
      <alignment horizontal="right"/>
      <protection/>
    </xf>
    <xf numFmtId="3" fontId="21" fillId="0" borderId="13" xfId="51" applyNumberFormat="1" applyFont="1" applyBorder="1" applyAlignment="1">
      <alignment horizontal="right"/>
      <protection/>
    </xf>
    <xf numFmtId="3" fontId="21" fillId="0" borderId="13" xfId="51" applyNumberFormat="1" applyFont="1" applyFill="1" applyBorder="1" applyAlignment="1">
      <alignment horizontal="right" vertical="center"/>
      <protection/>
    </xf>
    <xf numFmtId="165" fontId="0" fillId="0" borderId="32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0" fontId="19" fillId="20" borderId="21" xfId="0" applyFont="1" applyFill="1" applyBorder="1" applyAlignment="1">
      <alignment horizontal="center" vertical="center" wrapText="1"/>
    </xf>
    <xf numFmtId="3" fontId="1" fillId="20" borderId="13" xfId="0" applyNumberFormat="1" applyFont="1" applyFill="1" applyBorder="1" applyAlignment="1">
      <alignment horizontal="right" vertical="center"/>
    </xf>
    <xf numFmtId="3" fontId="0" fillId="20" borderId="13" xfId="0" applyNumberFormat="1" applyFont="1" applyFill="1" applyBorder="1" applyAlignment="1">
      <alignment horizontal="right" vertical="center"/>
    </xf>
    <xf numFmtId="3" fontId="19" fillId="20" borderId="13" xfId="0" applyNumberFormat="1" applyFont="1" applyFill="1" applyBorder="1" applyAlignment="1">
      <alignment horizontal="right" vertical="center"/>
    </xf>
    <xf numFmtId="3" fontId="1" fillId="20" borderId="12" xfId="0" applyNumberFormat="1" applyFont="1" applyFill="1" applyBorder="1" applyAlignment="1">
      <alignment horizontal="right" vertical="center" wrapText="1"/>
    </xf>
    <xf numFmtId="3" fontId="0" fillId="20" borderId="13" xfId="0" applyNumberFormat="1" applyFill="1" applyBorder="1" applyAlignment="1">
      <alignment horizontal="right" vertical="center"/>
    </xf>
    <xf numFmtId="3" fontId="0" fillId="20" borderId="13" xfId="0" applyNumberFormat="1" applyFont="1" applyFill="1" applyBorder="1" applyAlignment="1">
      <alignment horizontal="right" vertical="center" wrapText="1"/>
    </xf>
    <xf numFmtId="3" fontId="0" fillId="20" borderId="12" xfId="0" applyNumberFormat="1" applyFill="1" applyBorder="1" applyAlignment="1">
      <alignment horizontal="right" vertical="center" wrapText="1"/>
    </xf>
    <xf numFmtId="10" fontId="19" fillId="20" borderId="12" xfId="0" applyNumberFormat="1" applyFont="1" applyFill="1" applyBorder="1" applyAlignment="1">
      <alignment horizontal="right" vertical="center" wrapText="1"/>
    </xf>
    <xf numFmtId="10" fontId="19" fillId="20" borderId="13" xfId="0" applyNumberFormat="1" applyFont="1" applyFill="1" applyBorder="1" applyAlignment="1">
      <alignment horizontal="right" vertical="center"/>
    </xf>
    <xf numFmtId="165" fontId="0" fillId="20" borderId="26" xfId="0" applyNumberFormat="1" applyFont="1" applyFill="1" applyBorder="1" applyAlignment="1">
      <alignment horizontal="right" vertical="center" wrapText="1"/>
    </xf>
    <xf numFmtId="3" fontId="23" fillId="25" borderId="22" xfId="51" applyNumberFormat="1" applyFont="1" applyFill="1" applyBorder="1" applyAlignment="1">
      <alignment horizontal="right" vertical="center" wrapText="1"/>
      <protection/>
    </xf>
    <xf numFmtId="3" fontId="23" fillId="25" borderId="13" xfId="51" applyNumberFormat="1" applyFont="1" applyFill="1" applyBorder="1" applyAlignment="1">
      <alignment horizontal="right" vertical="center" wrapText="1"/>
      <protection/>
    </xf>
    <xf numFmtId="3" fontId="26" fillId="25" borderId="13" xfId="51" applyNumberFormat="1" applyFont="1" applyFill="1" applyBorder="1" applyAlignment="1">
      <alignment/>
      <protection/>
    </xf>
    <xf numFmtId="3" fontId="0" fillId="0" borderId="13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20" borderId="12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21" fillId="0" borderId="22" xfId="51" applyFill="1" applyBorder="1" applyAlignment="1">
      <alignment horizontal="center" vertical="center"/>
      <protection/>
    </xf>
    <xf numFmtId="3" fontId="21" fillId="0" borderId="22" xfId="51" applyNumberFormat="1" applyFont="1" applyFill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left" vertical="center" wrapText="1"/>
      <protection/>
    </xf>
    <xf numFmtId="0" fontId="21" fillId="0" borderId="13" xfId="51" applyFont="1" applyBorder="1" applyAlignment="1">
      <alignment horizontal="left" vertical="center" wrapText="1"/>
      <protection/>
    </xf>
    <xf numFmtId="0" fontId="21" fillId="0" borderId="13" xfId="51" applyFont="1" applyBorder="1" applyAlignment="1">
      <alignment vertical="center" wrapText="1"/>
      <protection/>
    </xf>
    <xf numFmtId="0" fontId="21" fillId="0" borderId="13" xfId="51" applyFont="1" applyBorder="1" applyAlignment="1">
      <alignment/>
      <protection/>
    </xf>
    <xf numFmtId="0" fontId="21" fillId="0" borderId="13" xfId="51" applyFont="1" applyFill="1" applyBorder="1" applyAlignment="1">
      <alignment horizontal="center" vertical="center"/>
      <protection/>
    </xf>
    <xf numFmtId="0" fontId="21" fillId="0" borderId="13" xfId="51" applyFont="1" applyFill="1" applyBorder="1" applyAlignment="1">
      <alignment vertical="center" wrapText="1"/>
      <protection/>
    </xf>
    <xf numFmtId="0" fontId="21" fillId="0" borderId="13" xfId="51" applyFont="1" applyFill="1" applyBorder="1" applyAlignment="1">
      <alignment/>
      <protection/>
    </xf>
    <xf numFmtId="3" fontId="21" fillId="0" borderId="13" xfId="51" applyNumberFormat="1" applyFont="1" applyBorder="1" applyAlignment="1">
      <alignment horizontal="right" vertical="center"/>
      <protection/>
    </xf>
    <xf numFmtId="0" fontId="21" fillId="0" borderId="13" xfId="51" applyFont="1" applyFill="1" applyBorder="1" applyAlignment="1">
      <alignment horizontal="left" vertical="center" wrapText="1"/>
      <protection/>
    </xf>
    <xf numFmtId="0" fontId="21" fillId="0" borderId="13" xfId="51" applyFont="1" applyFill="1" applyBorder="1" applyAlignment="1">
      <alignment vertical="center"/>
      <protection/>
    </xf>
    <xf numFmtId="0" fontId="21" fillId="0" borderId="13" xfId="51" applyFont="1" applyBorder="1" applyAlignment="1">
      <alignment horizontal="center" vertical="center" wrapText="1"/>
      <protection/>
    </xf>
    <xf numFmtId="3" fontId="21" fillId="0" borderId="13" xfId="51" applyNumberFormat="1" applyFont="1" applyFill="1" applyBorder="1" applyAlignment="1">
      <alignment horizontal="right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vertical="center" wrapText="1"/>
      <protection/>
    </xf>
    <xf numFmtId="0" fontId="21" fillId="0" borderId="13" xfId="51" applyFont="1" applyBorder="1" applyAlignment="1">
      <alignment horizontal="center" wrapText="1"/>
      <protection/>
    </xf>
    <xf numFmtId="0" fontId="21" fillId="0" borderId="13" xfId="51" applyFont="1" applyBorder="1" applyAlignment="1">
      <alignment horizontal="left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3" fontId="24" fillId="0" borderId="0" xfId="51" applyNumberFormat="1" applyFont="1">
      <alignment/>
      <protection/>
    </xf>
    <xf numFmtId="3" fontId="19" fillId="4" borderId="0" xfId="0" applyNumberFormat="1" applyFont="1" applyFill="1" applyBorder="1" applyAlignment="1">
      <alignment vertical="center"/>
    </xf>
    <xf numFmtId="3" fontId="21" fillId="20" borderId="13" xfId="51" applyNumberFormat="1" applyFont="1" applyFill="1" applyBorder="1" applyAlignment="1">
      <alignment horizontal="right" vertical="center"/>
      <protection/>
    </xf>
    <xf numFmtId="3" fontId="21" fillId="20" borderId="13" xfId="51" applyNumberFormat="1" applyFont="1" applyFill="1" applyBorder="1" applyAlignment="1">
      <alignment horizontal="right"/>
      <protection/>
    </xf>
    <xf numFmtId="3" fontId="21" fillId="20" borderId="22" xfId="51" applyNumberFormat="1" applyFont="1" applyFill="1" applyBorder="1" applyAlignment="1">
      <alignment horizontal="right" vertical="center"/>
      <protection/>
    </xf>
    <xf numFmtId="3" fontId="26" fillId="20" borderId="13" xfId="51" applyNumberFormat="1" applyFont="1" applyFill="1" applyBorder="1" applyAlignment="1">
      <alignment horizontal="right" vertical="center"/>
      <protection/>
    </xf>
    <xf numFmtId="3" fontId="32" fillId="20" borderId="13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9" fillId="0" borderId="35" xfId="0" applyFont="1" applyBorder="1" applyAlignment="1">
      <alignment wrapText="1"/>
    </xf>
    <xf numFmtId="0" fontId="0" fillId="0" borderId="35" xfId="0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38" xfId="0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39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3" fontId="33" fillId="0" borderId="38" xfId="0" applyNumberFormat="1" applyFont="1" applyBorder="1" applyAlignment="1">
      <alignment/>
    </xf>
    <xf numFmtId="3" fontId="20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39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19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0" xfId="0" applyNumberFormat="1" applyAlignment="1">
      <alignment/>
    </xf>
    <xf numFmtId="3" fontId="19" fillId="0" borderId="38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19" fillId="0" borderId="41" xfId="0" applyNumberFormat="1" applyFont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Fill="1" applyAlignment="1">
      <alignment/>
    </xf>
    <xf numFmtId="3" fontId="0" fillId="0" borderId="45" xfId="0" applyNumberFormat="1" applyBorder="1" applyAlignment="1">
      <alignment/>
    </xf>
    <xf numFmtId="0" fontId="0" fillId="0" borderId="0" xfId="0" applyFill="1" applyAlignment="1">
      <alignment/>
    </xf>
    <xf numFmtId="3" fontId="0" fillId="0" borderId="33" xfId="0" applyNumberFormat="1" applyBorder="1" applyAlignment="1">
      <alignment/>
    </xf>
    <xf numFmtId="3" fontId="34" fillId="0" borderId="0" xfId="0" applyNumberFormat="1" applyFont="1" applyAlignment="1">
      <alignment/>
    </xf>
    <xf numFmtId="3" fontId="20" fillId="0" borderId="0" xfId="0" applyNumberFormat="1" applyFont="1" applyFill="1" applyAlignment="1">
      <alignment vertical="center"/>
    </xf>
    <xf numFmtId="165" fontId="19" fillId="20" borderId="22" xfId="0" applyNumberFormat="1" applyFont="1" applyFill="1" applyBorder="1" applyAlignment="1">
      <alignment horizontal="right" vertical="center"/>
    </xf>
    <xf numFmtId="169" fontId="19" fillId="20" borderId="22" xfId="0" applyNumberFormat="1" applyFont="1" applyFill="1" applyBorder="1" applyAlignment="1">
      <alignment horizontal="right" vertical="center"/>
    </xf>
    <xf numFmtId="169" fontId="19" fillId="4" borderId="22" xfId="0" applyNumberFormat="1" applyFont="1" applyFill="1" applyBorder="1" applyAlignment="1">
      <alignment horizontal="right" vertical="center"/>
    </xf>
    <xf numFmtId="169" fontId="19" fillId="4" borderId="32" xfId="0" applyNumberFormat="1" applyFont="1" applyFill="1" applyBorder="1" applyAlignment="1">
      <alignment horizontal="right" vertical="center"/>
    </xf>
    <xf numFmtId="165" fontId="19" fillId="4" borderId="22" xfId="0" applyNumberFormat="1" applyFont="1" applyFill="1" applyBorder="1" applyAlignment="1">
      <alignment horizontal="right" vertical="center"/>
    </xf>
    <xf numFmtId="165" fontId="19" fillId="4" borderId="32" xfId="0" applyNumberFormat="1" applyFont="1" applyFill="1" applyBorder="1" applyAlignment="1">
      <alignment horizontal="right" vertical="center"/>
    </xf>
    <xf numFmtId="165" fontId="19" fillId="20" borderId="13" xfId="0" applyNumberFormat="1" applyFont="1" applyFill="1" applyBorder="1" applyAlignment="1">
      <alignment horizontal="right" vertical="center"/>
    </xf>
    <xf numFmtId="165" fontId="19" fillId="24" borderId="13" xfId="0" applyNumberFormat="1" applyFont="1" applyFill="1" applyBorder="1" applyAlignment="1">
      <alignment horizontal="right" vertical="center"/>
    </xf>
    <xf numFmtId="165" fontId="19" fillId="24" borderId="18" xfId="0" applyNumberFormat="1" applyFont="1" applyFill="1" applyBorder="1" applyAlignment="1">
      <alignment horizontal="right" vertical="center"/>
    </xf>
    <xf numFmtId="165" fontId="19" fillId="24" borderId="14" xfId="0" applyNumberFormat="1" applyFont="1" applyFill="1" applyBorder="1" applyAlignment="1">
      <alignment horizontal="right" vertical="center"/>
    </xf>
    <xf numFmtId="49" fontId="24" fillId="0" borderId="46" xfId="51" applyNumberFormat="1" applyFont="1" applyBorder="1" applyAlignment="1">
      <alignment horizontal="center" vertical="center" wrapText="1"/>
      <protection/>
    </xf>
    <xf numFmtId="3" fontId="23" fillId="25" borderId="47" xfId="51" applyNumberFormat="1" applyFont="1" applyFill="1" applyBorder="1" applyAlignment="1">
      <alignment horizontal="right" vertical="center"/>
      <protection/>
    </xf>
    <xf numFmtId="3" fontId="23" fillId="20" borderId="46" xfId="51" applyNumberFormat="1" applyFont="1" applyFill="1" applyBorder="1" applyAlignment="1">
      <alignment horizontal="right" vertical="center"/>
      <protection/>
    </xf>
    <xf numFmtId="3" fontId="21" fillId="0" borderId="46" xfId="51" applyNumberFormat="1" applyBorder="1" applyAlignment="1">
      <alignment horizontal="right" vertical="center"/>
      <protection/>
    </xf>
    <xf numFmtId="3" fontId="23" fillId="20" borderId="48" xfId="51" applyNumberFormat="1" applyFont="1" applyFill="1" applyBorder="1" applyAlignment="1">
      <alignment horizontal="right" vertical="center"/>
      <protection/>
    </xf>
    <xf numFmtId="3" fontId="21" fillId="0" borderId="46" xfId="51" applyNumberFormat="1" applyFont="1" applyFill="1" applyBorder="1" applyAlignment="1">
      <alignment horizontal="right"/>
      <protection/>
    </xf>
    <xf numFmtId="3" fontId="21" fillId="0" borderId="46" xfId="51" applyNumberFormat="1" applyFont="1" applyBorder="1" applyAlignment="1">
      <alignment horizontal="right" vertical="center"/>
      <protection/>
    </xf>
    <xf numFmtId="3" fontId="21" fillId="0" borderId="46" xfId="51" applyNumberFormat="1" applyFont="1" applyBorder="1" applyAlignment="1">
      <alignment horizontal="right"/>
      <protection/>
    </xf>
    <xf numFmtId="3" fontId="23" fillId="25" borderId="46" xfId="51" applyNumberFormat="1" applyFont="1" applyFill="1" applyBorder="1" applyAlignment="1">
      <alignment horizontal="right" vertical="center"/>
      <protection/>
    </xf>
    <xf numFmtId="3" fontId="21" fillId="0" borderId="47" xfId="51" applyNumberFormat="1" applyFont="1" applyFill="1" applyBorder="1" applyAlignment="1">
      <alignment horizontal="right" vertical="center"/>
      <protection/>
    </xf>
    <xf numFmtId="3" fontId="21" fillId="0" borderId="46" xfId="51" applyNumberFormat="1" applyFont="1" applyFill="1" applyBorder="1" applyAlignment="1">
      <alignment horizontal="right" vertical="center"/>
      <protection/>
    </xf>
    <xf numFmtId="3" fontId="23" fillId="20" borderId="47" xfId="51" applyNumberFormat="1" applyFont="1" applyFill="1" applyBorder="1" applyAlignment="1">
      <alignment horizontal="right" vertical="center"/>
      <protection/>
    </xf>
    <xf numFmtId="0" fontId="21" fillId="0" borderId="49" xfId="51" applyBorder="1">
      <alignment/>
      <protection/>
    </xf>
    <xf numFmtId="3" fontId="26" fillId="25" borderId="46" xfId="51" applyNumberFormat="1" applyFont="1" applyFill="1" applyBorder="1" applyAlignment="1">
      <alignment horizontal="right" vertical="center"/>
      <protection/>
    </xf>
    <xf numFmtId="0" fontId="23" fillId="0" borderId="50" xfId="51" applyFont="1" applyBorder="1" applyAlignment="1">
      <alignment horizontal="center" vertical="center"/>
      <protection/>
    </xf>
    <xf numFmtId="0" fontId="23" fillId="0" borderId="46" xfId="51" applyFont="1" applyBorder="1" applyAlignment="1">
      <alignment horizontal="center" vertical="center"/>
      <protection/>
    </xf>
    <xf numFmtId="3" fontId="23" fillId="25" borderId="51" xfId="51" applyNumberFormat="1" applyFont="1" applyFill="1" applyBorder="1" applyAlignment="1">
      <alignment horizontal="right" vertical="center"/>
      <protection/>
    </xf>
    <xf numFmtId="3" fontId="23" fillId="20" borderId="50" xfId="51" applyNumberFormat="1" applyFont="1" applyFill="1" applyBorder="1" applyAlignment="1">
      <alignment horizontal="right" vertical="center"/>
      <protection/>
    </xf>
    <xf numFmtId="3" fontId="21" fillId="0" borderId="50" xfId="51" applyNumberFormat="1" applyFont="1" applyBorder="1" applyAlignment="1">
      <alignment horizontal="right" vertical="center"/>
      <protection/>
    </xf>
    <xf numFmtId="3" fontId="23" fillId="20" borderId="52" xfId="51" applyNumberFormat="1" applyFont="1" applyFill="1" applyBorder="1" applyAlignment="1">
      <alignment horizontal="right" vertical="center"/>
      <protection/>
    </xf>
    <xf numFmtId="3" fontId="21" fillId="0" borderId="50" xfId="51" applyNumberFormat="1" applyFont="1" applyFill="1" applyBorder="1" applyAlignment="1">
      <alignment horizontal="right"/>
      <protection/>
    </xf>
    <xf numFmtId="3" fontId="21" fillId="0" borderId="50" xfId="51" applyNumberFormat="1" applyFont="1" applyBorder="1" applyAlignment="1">
      <alignment horizontal="right"/>
      <protection/>
    </xf>
    <xf numFmtId="3" fontId="23" fillId="25" borderId="50" xfId="51" applyNumberFormat="1" applyFont="1" applyFill="1" applyBorder="1" applyAlignment="1">
      <alignment horizontal="right" vertical="center"/>
      <protection/>
    </xf>
    <xf numFmtId="3" fontId="21" fillId="0" borderId="51" xfId="51" applyNumberFormat="1" applyFont="1" applyFill="1" applyBorder="1" applyAlignment="1">
      <alignment horizontal="right" vertical="center"/>
      <protection/>
    </xf>
    <xf numFmtId="3" fontId="21" fillId="0" borderId="50" xfId="51" applyNumberFormat="1" applyFont="1" applyFill="1" applyBorder="1" applyAlignment="1">
      <alignment horizontal="right" vertical="center"/>
      <protection/>
    </xf>
    <xf numFmtId="3" fontId="23" fillId="20" borderId="51" xfId="51" applyNumberFormat="1" applyFont="1" applyFill="1" applyBorder="1" applyAlignment="1">
      <alignment horizontal="right" vertical="center"/>
      <protection/>
    </xf>
    <xf numFmtId="0" fontId="21" fillId="0" borderId="53" xfId="51" applyBorder="1">
      <alignment/>
      <protection/>
    </xf>
    <xf numFmtId="0" fontId="21" fillId="20" borderId="0" xfId="51" applyFill="1" applyBorder="1">
      <alignment/>
      <protection/>
    </xf>
    <xf numFmtId="0" fontId="21" fillId="0" borderId="0" xfId="51" applyBorder="1">
      <alignment/>
      <protection/>
    </xf>
    <xf numFmtId="3" fontId="26" fillId="25" borderId="50" xfId="51" applyNumberFormat="1" applyFont="1" applyFill="1" applyBorder="1" applyAlignment="1">
      <alignment horizontal="right" vertical="center"/>
      <protection/>
    </xf>
    <xf numFmtId="3" fontId="19" fillId="4" borderId="54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22" borderId="12" xfId="0" applyNumberFormat="1" applyFill="1" applyBorder="1" applyAlignment="1">
      <alignment horizontal="right" vertical="center"/>
    </xf>
    <xf numFmtId="3" fontId="19" fillId="4" borderId="12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0" fillId="22" borderId="12" xfId="0" applyNumberFormat="1" applyFill="1" applyBorder="1" applyAlignment="1">
      <alignment horizontal="right" vertical="center" wrapText="1"/>
    </xf>
    <xf numFmtId="3" fontId="19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169" fontId="19" fillId="4" borderId="26" xfId="0" applyNumberFormat="1" applyFont="1" applyFill="1" applyBorder="1" applyAlignment="1">
      <alignment horizontal="right" vertical="center"/>
    </xf>
    <xf numFmtId="165" fontId="19" fillId="4" borderId="26" xfId="0" applyNumberFormat="1" applyFont="1" applyFill="1" applyBorder="1" applyAlignment="1">
      <alignment horizontal="right" vertical="center"/>
    </xf>
    <xf numFmtId="0" fontId="19" fillId="0" borderId="55" xfId="0" applyFont="1" applyBorder="1" applyAlignment="1">
      <alignment horizontal="center" vertical="center" wrapText="1"/>
    </xf>
    <xf numFmtId="3" fontId="19" fillId="4" borderId="48" xfId="0" applyNumberFormat="1" applyFont="1" applyFill="1" applyBorder="1" applyAlignment="1">
      <alignment horizontal="right" vertical="center"/>
    </xf>
    <xf numFmtId="3" fontId="1" fillId="0" borderId="46" xfId="0" applyNumberFormat="1" applyFont="1" applyFill="1" applyBorder="1" applyAlignment="1">
      <alignment horizontal="right" vertical="center"/>
    </xf>
    <xf numFmtId="3" fontId="0" fillId="22" borderId="46" xfId="0" applyNumberFormat="1" applyFill="1" applyBorder="1" applyAlignment="1">
      <alignment horizontal="right" vertical="center"/>
    </xf>
    <xf numFmtId="3" fontId="19" fillId="4" borderId="46" xfId="0" applyNumberFormat="1" applyFont="1" applyFill="1" applyBorder="1" applyAlignment="1">
      <alignment horizontal="right" vertical="center"/>
    </xf>
    <xf numFmtId="3" fontId="1" fillId="0" borderId="46" xfId="0" applyNumberFormat="1" applyFont="1" applyBorder="1" applyAlignment="1">
      <alignment horizontal="right" vertical="center" wrapText="1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6" xfId="0" applyNumberFormat="1" applyFill="1" applyBorder="1" applyAlignment="1">
      <alignment horizontal="right" vertical="center"/>
    </xf>
    <xf numFmtId="3" fontId="0" fillId="0" borderId="46" xfId="0" applyNumberForma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/>
    </xf>
    <xf numFmtId="3" fontId="0" fillId="22" borderId="46" xfId="0" applyNumberFormat="1" applyFill="1" applyBorder="1" applyAlignment="1">
      <alignment horizontal="right" vertical="center" wrapText="1"/>
    </xf>
    <xf numFmtId="3" fontId="0" fillId="0" borderId="46" xfId="0" applyNumberFormat="1" applyFill="1" applyBorder="1" applyAlignment="1">
      <alignment horizontal="right" vertical="center" wrapText="1"/>
    </xf>
    <xf numFmtId="3" fontId="19" fillId="0" borderId="46" xfId="0" applyNumberFormat="1" applyFont="1" applyFill="1" applyBorder="1" applyAlignment="1">
      <alignment horizontal="right" vertical="center"/>
    </xf>
    <xf numFmtId="10" fontId="19" fillId="0" borderId="46" xfId="0" applyNumberFormat="1" applyFont="1" applyBorder="1" applyAlignment="1">
      <alignment horizontal="right" vertical="center" wrapText="1"/>
    </xf>
    <xf numFmtId="10" fontId="19" fillId="0" borderId="46" xfId="0" applyNumberFormat="1" applyFont="1" applyBorder="1" applyAlignment="1">
      <alignment horizontal="right" vertical="center"/>
    </xf>
    <xf numFmtId="169" fontId="19" fillId="4" borderId="47" xfId="0" applyNumberFormat="1" applyFont="1" applyFill="1" applyBorder="1" applyAlignment="1">
      <alignment horizontal="right" vertical="center"/>
    </xf>
    <xf numFmtId="165" fontId="0" fillId="0" borderId="47" xfId="0" applyNumberFormat="1" applyFont="1" applyFill="1" applyBorder="1" applyAlignment="1">
      <alignment horizontal="right" vertical="center" wrapText="1"/>
    </xf>
    <xf numFmtId="165" fontId="19" fillId="4" borderId="47" xfId="0" applyNumberFormat="1" applyFont="1" applyFill="1" applyBorder="1" applyAlignment="1">
      <alignment horizontal="right" vertical="center"/>
    </xf>
    <xf numFmtId="165" fontId="19" fillId="24" borderId="46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1" fillId="0" borderId="46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vertical="center"/>
    </xf>
    <xf numFmtId="3" fontId="32" fillId="0" borderId="12" xfId="0" applyNumberFormat="1" applyFont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0" fontId="29" fillId="0" borderId="13" xfId="51" applyFont="1" applyFill="1" applyBorder="1" applyAlignment="1">
      <alignment horizontal="left" vertical="center" wrapText="1"/>
      <protection/>
    </xf>
    <xf numFmtId="3" fontId="21" fillId="0" borderId="56" xfId="51" applyNumberFormat="1" applyFont="1" applyFill="1" applyBorder="1" applyAlignment="1">
      <alignment horizontal="right" vertical="center"/>
      <protection/>
    </xf>
    <xf numFmtId="3" fontId="33" fillId="0" borderId="13" xfId="0" applyNumberFormat="1" applyFont="1" applyFill="1" applyBorder="1" applyAlignment="1">
      <alignment horizontal="right" vertical="center"/>
    </xf>
    <xf numFmtId="3" fontId="33" fillId="0" borderId="14" xfId="0" applyNumberFormat="1" applyFont="1" applyFill="1" applyBorder="1" applyAlignment="1">
      <alignment horizontal="right" vertical="center"/>
    </xf>
    <xf numFmtId="3" fontId="32" fillId="0" borderId="46" xfId="0" applyNumberFormat="1" applyFont="1" applyBorder="1" applyAlignment="1">
      <alignment horizontal="right" vertical="center" wrapText="1"/>
    </xf>
    <xf numFmtId="3" fontId="19" fillId="20" borderId="19" xfId="0" applyNumberFormat="1" applyFont="1" applyFill="1" applyBorder="1" applyAlignment="1">
      <alignment vertical="center"/>
    </xf>
    <xf numFmtId="3" fontId="19" fillId="24" borderId="19" xfId="0" applyNumberFormat="1" applyFont="1" applyFill="1" applyBorder="1" applyAlignment="1">
      <alignment vertical="center"/>
    </xf>
    <xf numFmtId="3" fontId="19" fillId="24" borderId="57" xfId="0" applyNumberFormat="1" applyFont="1" applyFill="1" applyBorder="1" applyAlignment="1">
      <alignment vertical="center"/>
    </xf>
    <xf numFmtId="3" fontId="19" fillId="24" borderId="58" xfId="0" applyNumberFormat="1" applyFont="1" applyFill="1" applyBorder="1" applyAlignment="1">
      <alignment vertical="center"/>
    </xf>
    <xf numFmtId="3" fontId="19" fillId="24" borderId="59" xfId="0" applyNumberFormat="1" applyFont="1" applyFill="1" applyBorder="1" applyAlignment="1">
      <alignment vertical="center"/>
    </xf>
    <xf numFmtId="165" fontId="19" fillId="24" borderId="12" xfId="0" applyNumberFormat="1" applyFont="1" applyFill="1" applyBorder="1" applyAlignment="1">
      <alignment horizontal="right" vertical="center"/>
    </xf>
    <xf numFmtId="0" fontId="21" fillId="0" borderId="0" xfId="51" applyFont="1" applyBorder="1" applyAlignment="1">
      <alignment horizontal="left"/>
      <protection/>
    </xf>
    <xf numFmtId="0" fontId="23" fillId="0" borderId="18" xfId="51" applyFont="1" applyBorder="1" applyAlignment="1">
      <alignment horizontal="center" vertical="center"/>
      <protection/>
    </xf>
    <xf numFmtId="3" fontId="23" fillId="25" borderId="60" xfId="51" applyNumberFormat="1" applyFont="1" applyFill="1" applyBorder="1" applyAlignment="1">
      <alignment horizontal="right" vertical="center"/>
      <protection/>
    </xf>
    <xf numFmtId="3" fontId="23" fillId="20" borderId="18" xfId="51" applyNumberFormat="1" applyFont="1" applyFill="1" applyBorder="1" applyAlignment="1">
      <alignment horizontal="right" vertical="center"/>
      <protection/>
    </xf>
    <xf numFmtId="3" fontId="21" fillId="0" borderId="18" xfId="51" applyNumberFormat="1" applyFont="1" applyBorder="1" applyAlignment="1">
      <alignment horizontal="right" vertical="center"/>
      <protection/>
    </xf>
    <xf numFmtId="3" fontId="23" fillId="20" borderId="16" xfId="51" applyNumberFormat="1" applyFont="1" applyFill="1" applyBorder="1" applyAlignment="1">
      <alignment horizontal="right" vertical="center"/>
      <protection/>
    </xf>
    <xf numFmtId="3" fontId="21" fillId="0" borderId="18" xfId="51" applyNumberFormat="1" applyFont="1" applyFill="1" applyBorder="1" applyAlignment="1">
      <alignment horizontal="right"/>
      <protection/>
    </xf>
    <xf numFmtId="3" fontId="21" fillId="0" borderId="18" xfId="51" applyNumberFormat="1" applyFont="1" applyBorder="1" applyAlignment="1">
      <alignment horizontal="right"/>
      <protection/>
    </xf>
    <xf numFmtId="3" fontId="23" fillId="25" borderId="18" xfId="51" applyNumberFormat="1" applyFont="1" applyFill="1" applyBorder="1" applyAlignment="1">
      <alignment horizontal="right" vertical="center"/>
      <protection/>
    </xf>
    <xf numFmtId="3" fontId="21" fillId="0" borderId="60" xfId="51" applyNumberFormat="1" applyFont="1" applyFill="1" applyBorder="1" applyAlignment="1">
      <alignment horizontal="right" vertical="center"/>
      <protection/>
    </xf>
    <xf numFmtId="3" fontId="21" fillId="0" borderId="18" xfId="51" applyNumberFormat="1" applyFont="1" applyFill="1" applyBorder="1" applyAlignment="1">
      <alignment horizontal="right" vertical="center"/>
      <protection/>
    </xf>
    <xf numFmtId="3" fontId="23" fillId="20" borderId="60" xfId="51" applyNumberFormat="1" applyFont="1" applyFill="1" applyBorder="1" applyAlignment="1">
      <alignment horizontal="right" vertical="center"/>
      <protection/>
    </xf>
    <xf numFmtId="3" fontId="26" fillId="25" borderId="18" xfId="51" applyNumberFormat="1" applyFont="1" applyFill="1" applyBorder="1" applyAlignment="1">
      <alignment horizontal="right" vertical="center"/>
      <protection/>
    </xf>
    <xf numFmtId="0" fontId="21" fillId="0" borderId="61" xfId="51" applyBorder="1">
      <alignment/>
      <protection/>
    </xf>
    <xf numFmtId="0" fontId="21" fillId="0" borderId="13" xfId="51" applyFont="1" applyFill="1" applyBorder="1" applyAlignment="1">
      <alignment wrapText="1"/>
      <protection/>
    </xf>
    <xf numFmtId="3" fontId="1" fillId="0" borderId="12" xfId="0" applyNumberFormat="1" applyFont="1" applyFill="1" applyBorder="1" applyAlignment="1">
      <alignment horizontal="right" vertical="center"/>
    </xf>
    <xf numFmtId="3" fontId="19" fillId="20" borderId="15" xfId="0" applyNumberFormat="1" applyFont="1" applyFill="1" applyBorder="1" applyAlignment="1">
      <alignment horizontal="right" vertical="center"/>
    </xf>
    <xf numFmtId="0" fontId="24" fillId="0" borderId="48" xfId="51" applyFont="1" applyBorder="1" applyAlignment="1">
      <alignment horizontal="center" vertical="center"/>
      <protection/>
    </xf>
    <xf numFmtId="170" fontId="24" fillId="0" borderId="60" xfId="51" applyNumberFormat="1" applyFont="1" applyBorder="1" applyAlignment="1">
      <alignment horizontal="center" vertical="center" wrapText="1"/>
      <protection/>
    </xf>
    <xf numFmtId="0" fontId="24" fillId="0" borderId="52" xfId="51" applyFont="1" applyBorder="1" applyAlignment="1">
      <alignment horizontal="center" vertical="center"/>
      <protection/>
    </xf>
    <xf numFmtId="0" fontId="24" fillId="0" borderId="15" xfId="51" applyFont="1" applyBorder="1" applyAlignment="1">
      <alignment horizontal="center" vertical="center"/>
      <protection/>
    </xf>
    <xf numFmtId="0" fontId="24" fillId="0" borderId="16" xfId="51" applyFont="1" applyBorder="1" applyAlignment="1">
      <alignment horizontal="center" vertical="center"/>
      <protection/>
    </xf>
    <xf numFmtId="3" fontId="35" fillId="0" borderId="0" xfId="0" applyNumberFormat="1" applyFont="1" applyAlignment="1">
      <alignment/>
    </xf>
    <xf numFmtId="0" fontId="36" fillId="0" borderId="21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right" vertical="center"/>
    </xf>
    <xf numFmtId="3" fontId="32" fillId="0" borderId="13" xfId="0" applyNumberFormat="1" applyFont="1" applyFill="1" applyBorder="1" applyAlignment="1">
      <alignment horizontal="right" vertical="center"/>
    </xf>
    <xf numFmtId="10" fontId="19" fillId="0" borderId="12" xfId="0" applyNumberFormat="1" applyFont="1" applyFill="1" applyBorder="1" applyAlignment="1">
      <alignment horizontal="right" vertical="center" wrapText="1"/>
    </xf>
    <xf numFmtId="10" fontId="19" fillId="0" borderId="13" xfId="0" applyNumberFormat="1" applyFont="1" applyFill="1" applyBorder="1" applyAlignment="1">
      <alignment horizontal="right" vertical="center"/>
    </xf>
    <xf numFmtId="3" fontId="0" fillId="22" borderId="13" xfId="0" applyNumberFormat="1" applyFont="1" applyFill="1" applyBorder="1" applyAlignment="1">
      <alignment horizontal="right" vertical="center"/>
    </xf>
    <xf numFmtId="3" fontId="0" fillId="22" borderId="13" xfId="0" applyNumberFormat="1" applyFont="1" applyFill="1" applyBorder="1" applyAlignment="1">
      <alignment horizontal="right" vertical="center" wrapText="1"/>
    </xf>
    <xf numFmtId="3" fontId="19" fillId="4" borderId="27" xfId="0" applyNumberFormat="1" applyFont="1" applyFill="1" applyBorder="1" applyAlignment="1">
      <alignment horizontal="center" vertical="center"/>
    </xf>
    <xf numFmtId="3" fontId="19" fillId="4" borderId="62" xfId="0" applyNumberFormat="1" applyFont="1" applyFill="1" applyBorder="1" applyAlignment="1">
      <alignment horizontal="center" vertical="center"/>
    </xf>
    <xf numFmtId="3" fontId="19" fillId="4" borderId="63" xfId="0" applyNumberFormat="1" applyFont="1" applyFill="1" applyBorder="1" applyAlignment="1">
      <alignment horizontal="center" vertical="center"/>
    </xf>
    <xf numFmtId="3" fontId="19" fillId="4" borderId="18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3" fontId="19" fillId="4" borderId="22" xfId="0" applyNumberFormat="1" applyFont="1" applyFill="1" applyBorder="1" applyAlignment="1">
      <alignment horizontal="center" vertical="center" textRotation="90" wrapText="1"/>
    </xf>
    <xf numFmtId="3" fontId="19" fillId="4" borderId="64" xfId="0" applyNumberFormat="1" applyFont="1" applyFill="1" applyBorder="1" applyAlignment="1">
      <alignment horizontal="center" vertical="center" textRotation="90" wrapText="1"/>
    </xf>
    <xf numFmtId="3" fontId="19" fillId="4" borderId="15" xfId="0" applyNumberFormat="1" applyFont="1" applyFill="1" applyBorder="1" applyAlignment="1">
      <alignment horizontal="center" vertical="center" textRotation="90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24" borderId="19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3" fontId="19" fillId="4" borderId="60" xfId="0" applyNumberFormat="1" applyFont="1" applyFill="1" applyBorder="1" applyAlignment="1">
      <alignment horizontal="center" vertical="center" wrapText="1"/>
    </xf>
    <xf numFmtId="3" fontId="19" fillId="4" borderId="26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textRotation="90"/>
    </xf>
    <xf numFmtId="3" fontId="0" fillId="0" borderId="64" xfId="0" applyNumberFormat="1" applyBorder="1" applyAlignment="1">
      <alignment horizontal="center" vertical="center" textRotation="90"/>
    </xf>
    <xf numFmtId="3" fontId="0" fillId="0" borderId="15" xfId="0" applyNumberFormat="1" applyBorder="1" applyAlignment="1">
      <alignment horizontal="center" vertical="center" textRotation="90"/>
    </xf>
    <xf numFmtId="3" fontId="19" fillId="4" borderId="18" xfId="0" applyNumberFormat="1" applyFont="1" applyFill="1" applyBorder="1" applyAlignment="1">
      <alignment horizontal="center" vertical="center"/>
    </xf>
    <xf numFmtId="3" fontId="19" fillId="4" borderId="12" xfId="0" applyNumberFormat="1" applyFont="1" applyFill="1" applyBorder="1" applyAlignment="1">
      <alignment horizontal="center" vertical="center"/>
    </xf>
    <xf numFmtId="3" fontId="19" fillId="24" borderId="13" xfId="0" applyNumberFormat="1" applyFont="1" applyFill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3" fontId="19" fillId="4" borderId="66" xfId="0" applyNumberFormat="1" applyFont="1" applyFill="1" applyBorder="1" applyAlignment="1">
      <alignment horizontal="center" vertical="center"/>
    </xf>
    <xf numFmtId="3" fontId="19" fillId="4" borderId="24" xfId="0" applyNumberFormat="1" applyFont="1" applyFill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 textRotation="90"/>
    </xf>
    <xf numFmtId="3" fontId="0" fillId="0" borderId="66" xfId="0" applyNumberFormat="1" applyBorder="1" applyAlignment="1">
      <alignment horizontal="center" vertical="center" textRotation="90"/>
    </xf>
    <xf numFmtId="3" fontId="0" fillId="0" borderId="16" xfId="0" applyNumberFormat="1" applyBorder="1" applyAlignment="1">
      <alignment horizontal="center" vertical="center" textRotation="90"/>
    </xf>
    <xf numFmtId="3" fontId="0" fillId="0" borderId="22" xfId="0" applyNumberFormat="1" applyFont="1" applyBorder="1" applyAlignment="1">
      <alignment horizontal="center" vertical="center" textRotation="89"/>
    </xf>
    <xf numFmtId="3" fontId="0" fillId="0" borderId="15" xfId="0" applyNumberFormat="1" applyFont="1" applyBorder="1" applyAlignment="1">
      <alignment horizontal="center" vertical="center" textRotation="89"/>
    </xf>
    <xf numFmtId="0" fontId="23" fillId="20" borderId="13" xfId="51" applyFont="1" applyFill="1" applyBorder="1" applyAlignment="1">
      <alignment horizontal="left" vertical="center" wrapText="1"/>
      <protection/>
    </xf>
    <xf numFmtId="0" fontId="23" fillId="25" borderId="60" xfId="51" applyFont="1" applyFill="1" applyBorder="1" applyAlignment="1">
      <alignment horizontal="left" vertical="center" wrapText="1"/>
      <protection/>
    </xf>
    <xf numFmtId="0" fontId="23" fillId="25" borderId="67" xfId="51" applyFont="1" applyFill="1" applyBorder="1" applyAlignment="1">
      <alignment horizontal="left" vertical="center" wrapText="1"/>
      <protection/>
    </xf>
    <xf numFmtId="0" fontId="23" fillId="25" borderId="26" xfId="51" applyFont="1" applyFill="1" applyBorder="1" applyAlignment="1">
      <alignment horizontal="left" vertical="center" wrapText="1"/>
      <protection/>
    </xf>
    <xf numFmtId="0" fontId="23" fillId="0" borderId="67" xfId="51" applyFont="1" applyBorder="1" applyAlignment="1">
      <alignment horizontal="left"/>
      <protection/>
    </xf>
    <xf numFmtId="0" fontId="21" fillId="0" borderId="67" xfId="51" applyBorder="1" applyAlignment="1">
      <alignment/>
      <protection/>
    </xf>
    <xf numFmtId="0" fontId="26" fillId="25" borderId="13" xfId="51" applyFont="1" applyFill="1" applyBorder="1" applyAlignment="1">
      <alignment horizontal="center"/>
      <protection/>
    </xf>
    <xf numFmtId="0" fontId="23" fillId="25" borderId="13" xfId="51" applyFont="1" applyFill="1" applyBorder="1" applyAlignment="1">
      <alignment horizontal="left" vertical="center" wrapText="1"/>
      <protection/>
    </xf>
    <xf numFmtId="0" fontId="23" fillId="20" borderId="18" xfId="51" applyFont="1" applyFill="1" applyBorder="1" applyAlignment="1">
      <alignment horizontal="left" vertical="center" wrapText="1"/>
      <protection/>
    </xf>
    <xf numFmtId="0" fontId="23" fillId="20" borderId="68" xfId="51" applyFont="1" applyFill="1" applyBorder="1" applyAlignment="1">
      <alignment horizontal="left" vertical="center" wrapText="1"/>
      <protection/>
    </xf>
    <xf numFmtId="0" fontId="23" fillId="20" borderId="12" xfId="51" applyFont="1" applyFill="1" applyBorder="1" applyAlignment="1">
      <alignment horizontal="left" vertical="center" wrapText="1"/>
      <protection/>
    </xf>
    <xf numFmtId="0" fontId="24" fillId="0" borderId="18" xfId="51" applyFont="1" applyBorder="1" applyAlignment="1">
      <alignment horizontal="center" vertical="center"/>
      <protection/>
    </xf>
    <xf numFmtId="0" fontId="21" fillId="0" borderId="68" xfId="51" applyBorder="1" applyAlignment="1">
      <alignment horizontal="center" vertical="center"/>
      <protection/>
    </xf>
    <xf numFmtId="0" fontId="21" fillId="0" borderId="12" xfId="51" applyBorder="1" applyAlignment="1">
      <alignment horizontal="center" vertical="center"/>
      <protection/>
    </xf>
    <xf numFmtId="0" fontId="23" fillId="0" borderId="0" xfId="51" applyFont="1" applyBorder="1" applyAlignment="1">
      <alignment horizontal="center"/>
      <protection/>
    </xf>
    <xf numFmtId="0" fontId="24" fillId="0" borderId="10" xfId="51" applyFont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łącznik Nr 2 wykaz przedsięwzięc do WPF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5"/>
  <sheetViews>
    <sheetView tabSelected="1" view="pageBreakPreview" zoomScale="60" workbookViewId="0" topLeftCell="A1">
      <pane xSplit="3" topLeftCell="D1" activePane="topRight" state="frozen"/>
      <selection pane="topLeft" activeCell="A1" sqref="A1"/>
      <selection pane="topRight" activeCell="D7" sqref="D7"/>
    </sheetView>
  </sheetViews>
  <sheetFormatPr defaultColWidth="9.00390625" defaultRowHeight="12.75"/>
  <cols>
    <col min="1" max="1" width="4.625" style="1" customWidth="1"/>
    <col min="2" max="2" width="9.625" style="2" customWidth="1"/>
    <col min="3" max="3" width="36.125" style="3" customWidth="1"/>
    <col min="4" max="4" width="12.625" style="3" customWidth="1"/>
    <col min="5" max="5" width="13.625" style="3" customWidth="1"/>
    <col min="6" max="7" width="12.00390625" style="7" customWidth="1"/>
    <col min="8" max="8" width="11.75390625" style="2" customWidth="1"/>
    <col min="9" max="9" width="11.25390625" style="2" customWidth="1"/>
    <col min="10" max="10" width="12.00390625" style="2" customWidth="1"/>
    <col min="11" max="11" width="11.875" style="2" customWidth="1"/>
    <col min="12" max="12" width="12.75390625" style="2" customWidth="1"/>
    <col min="13" max="13" width="11.875" style="2" customWidth="1"/>
    <col min="14" max="14" width="11.25390625" style="2" customWidth="1"/>
    <col min="15" max="17" width="11.125" style="2" customWidth="1"/>
    <col min="18" max="18" width="11.375" style="2" customWidth="1"/>
    <col min="19" max="19" width="11.25390625" style="2" customWidth="1"/>
    <col min="20" max="20" width="11.375" style="2" hidden="1" customWidth="1"/>
    <col min="21" max="21" width="11.25390625" style="2" hidden="1" customWidth="1"/>
    <col min="22" max="23" width="16.875" style="2" customWidth="1"/>
    <col min="24" max="24" width="11.25390625" style="2" customWidth="1"/>
    <col min="25" max="25" width="231.375" style="2" customWidth="1"/>
    <col min="26" max="16384" width="9.125" style="2" customWidth="1"/>
  </cols>
  <sheetData>
    <row r="2" ht="12.75">
      <c r="C2" s="3" t="s">
        <v>207</v>
      </c>
    </row>
    <row r="3" spans="3:16" ht="18">
      <c r="C3" s="3" t="s">
        <v>158</v>
      </c>
      <c r="D3" s="127" t="s">
        <v>160</v>
      </c>
      <c r="J3" s="128"/>
      <c r="K3" s="128"/>
      <c r="L3" s="128"/>
      <c r="M3" s="128"/>
      <c r="N3" s="128"/>
      <c r="O3" s="128"/>
      <c r="P3" s="128"/>
    </row>
    <row r="4" ht="12.75">
      <c r="C4" s="3" t="s">
        <v>206</v>
      </c>
    </row>
    <row r="6" ht="12.75">
      <c r="C6" s="3" t="s">
        <v>200</v>
      </c>
    </row>
    <row r="7" ht="13.5" thickBot="1"/>
    <row r="8" spans="1:21" ht="51.75" customHeight="1" thickBot="1">
      <c r="A8" s="6" t="s">
        <v>0</v>
      </c>
      <c r="B8" s="381" t="s">
        <v>1</v>
      </c>
      <c r="C8" s="382"/>
      <c r="D8" s="42" t="s">
        <v>57</v>
      </c>
      <c r="E8" s="42" t="s">
        <v>58</v>
      </c>
      <c r="F8" s="43" t="s">
        <v>59</v>
      </c>
      <c r="G8" s="354" t="s">
        <v>199</v>
      </c>
      <c r="H8" s="151" t="s">
        <v>78</v>
      </c>
      <c r="I8" s="44" t="s">
        <v>79</v>
      </c>
      <c r="J8" s="294" t="s">
        <v>80</v>
      </c>
      <c r="K8" s="42" t="s">
        <v>81</v>
      </c>
      <c r="L8" s="44" t="s">
        <v>82</v>
      </c>
      <c r="M8" s="44" t="s">
        <v>83</v>
      </c>
      <c r="N8" s="44" t="s">
        <v>84</v>
      </c>
      <c r="O8" s="44" t="s">
        <v>85</v>
      </c>
      <c r="P8" s="44" t="s">
        <v>86</v>
      </c>
      <c r="Q8" s="44" t="s">
        <v>87</v>
      </c>
      <c r="R8" s="44" t="s">
        <v>88</v>
      </c>
      <c r="S8" s="44" t="s">
        <v>89</v>
      </c>
      <c r="T8" s="44" t="s">
        <v>90</v>
      </c>
      <c r="U8" s="120" t="s">
        <v>91</v>
      </c>
    </row>
    <row r="9" spans="1:21" s="45" customFormat="1" ht="22.5" customHeight="1">
      <c r="A9" s="78" t="s">
        <v>19</v>
      </c>
      <c r="B9" s="383" t="s">
        <v>2</v>
      </c>
      <c r="C9" s="384"/>
      <c r="D9" s="79">
        <f aca="true" t="shared" si="0" ref="D9:U9">D10+D11</f>
        <v>25728563</v>
      </c>
      <c r="E9" s="79">
        <f t="shared" si="0"/>
        <v>25330382</v>
      </c>
      <c r="F9" s="17">
        <f t="shared" si="0"/>
        <v>30920255</v>
      </c>
      <c r="G9" s="17">
        <f>G10+G11</f>
        <v>29786396</v>
      </c>
      <c r="H9" s="347">
        <f t="shared" si="0"/>
        <v>33880455</v>
      </c>
      <c r="I9" s="17">
        <f t="shared" si="0"/>
        <v>31855000</v>
      </c>
      <c r="J9" s="295">
        <f t="shared" si="0"/>
        <v>31600000</v>
      </c>
      <c r="K9" s="282">
        <f t="shared" si="0"/>
        <v>31700000</v>
      </c>
      <c r="L9" s="17">
        <f t="shared" si="0"/>
        <v>32640000</v>
      </c>
      <c r="M9" s="17">
        <f t="shared" si="0"/>
        <v>30850000</v>
      </c>
      <c r="N9" s="17">
        <f t="shared" si="0"/>
        <v>30950000</v>
      </c>
      <c r="O9" s="17">
        <f t="shared" si="0"/>
        <v>30950000</v>
      </c>
      <c r="P9" s="17">
        <f t="shared" si="0"/>
        <v>31257000</v>
      </c>
      <c r="Q9" s="18">
        <f t="shared" si="0"/>
        <v>30486000</v>
      </c>
      <c r="R9" s="18">
        <f t="shared" si="0"/>
        <v>30658000</v>
      </c>
      <c r="S9" s="17">
        <f t="shared" si="0"/>
        <v>0</v>
      </c>
      <c r="T9" s="17">
        <f t="shared" si="0"/>
        <v>0</v>
      </c>
      <c r="U9" s="19">
        <f t="shared" si="0"/>
        <v>0</v>
      </c>
    </row>
    <row r="10" spans="1:21" s="11" customFormat="1" ht="22.5" customHeight="1">
      <c r="A10" s="80" t="s">
        <v>20</v>
      </c>
      <c r="B10" s="81"/>
      <c r="C10" s="82" t="s">
        <v>3</v>
      </c>
      <c r="D10" s="83">
        <v>24589604</v>
      </c>
      <c r="E10" s="83">
        <v>24852835</v>
      </c>
      <c r="F10" s="20">
        <v>29105698</v>
      </c>
      <c r="G10" s="20">
        <v>29324737</v>
      </c>
      <c r="H10" s="152">
        <v>27390681</v>
      </c>
      <c r="I10" s="20">
        <v>29130000</v>
      </c>
      <c r="J10" s="296">
        <v>29400000</v>
      </c>
      <c r="K10" s="346">
        <v>29500000</v>
      </c>
      <c r="L10" s="20">
        <v>30460000</v>
      </c>
      <c r="M10" s="20">
        <v>30500000</v>
      </c>
      <c r="N10" s="20">
        <v>30500000</v>
      </c>
      <c r="O10" s="20">
        <v>30700000</v>
      </c>
      <c r="P10" s="20">
        <f>O10*101%</f>
        <v>31007000</v>
      </c>
      <c r="Q10" s="21">
        <v>30286000</v>
      </c>
      <c r="R10" s="21">
        <v>30508000</v>
      </c>
      <c r="S10" s="20"/>
      <c r="T10" s="20">
        <f>S10*101%</f>
        <v>0</v>
      </c>
      <c r="U10" s="22">
        <f>T10*101%</f>
        <v>0</v>
      </c>
    </row>
    <row r="11" spans="1:21" s="11" customFormat="1" ht="22.5" customHeight="1">
      <c r="A11" s="80" t="s">
        <v>21</v>
      </c>
      <c r="B11" s="81"/>
      <c r="C11" s="82" t="s">
        <v>4</v>
      </c>
      <c r="D11" s="83">
        <v>1138959</v>
      </c>
      <c r="E11" s="83">
        <v>477547</v>
      </c>
      <c r="F11" s="20">
        <v>1814557</v>
      </c>
      <c r="G11" s="20">
        <v>461659</v>
      </c>
      <c r="H11" s="152">
        <v>6489774</v>
      </c>
      <c r="I11" s="20">
        <v>2725000</v>
      </c>
      <c r="J11" s="296">
        <v>2200000</v>
      </c>
      <c r="K11" s="283">
        <v>2200000</v>
      </c>
      <c r="L11" s="20">
        <v>2180000</v>
      </c>
      <c r="M11" s="20">
        <v>350000</v>
      </c>
      <c r="N11" s="20">
        <v>450000</v>
      </c>
      <c r="O11" s="20">
        <v>250000</v>
      </c>
      <c r="P11" s="20">
        <v>250000</v>
      </c>
      <c r="Q11" s="21">
        <v>200000</v>
      </c>
      <c r="R11" s="21">
        <v>150000</v>
      </c>
      <c r="S11" s="20"/>
      <c r="T11" s="20"/>
      <c r="U11" s="22"/>
    </row>
    <row r="12" spans="1:21" ht="21.75" customHeight="1">
      <c r="A12" s="84"/>
      <c r="B12" s="85" t="s">
        <v>27</v>
      </c>
      <c r="C12" s="86" t="s">
        <v>38</v>
      </c>
      <c r="D12" s="77">
        <v>702165</v>
      </c>
      <c r="E12" s="77">
        <v>394316</v>
      </c>
      <c r="F12" s="23">
        <v>700000</v>
      </c>
      <c r="G12" s="359">
        <v>144744</v>
      </c>
      <c r="H12" s="153">
        <v>800000</v>
      </c>
      <c r="I12" s="23">
        <v>750000</v>
      </c>
      <c r="J12" s="297">
        <v>650000</v>
      </c>
      <c r="K12" s="284">
        <v>650000</v>
      </c>
      <c r="L12" s="23">
        <v>650000</v>
      </c>
      <c r="M12" s="23">
        <v>300000</v>
      </c>
      <c r="N12" s="23">
        <v>400000</v>
      </c>
      <c r="O12" s="23">
        <v>100000</v>
      </c>
      <c r="P12" s="23">
        <v>100000</v>
      </c>
      <c r="Q12" s="34">
        <v>100000</v>
      </c>
      <c r="R12" s="34">
        <v>80000</v>
      </c>
      <c r="S12" s="23"/>
      <c r="T12" s="23"/>
      <c r="U12" s="35"/>
    </row>
    <row r="13" spans="1:21" s="45" customFormat="1" ht="20.25" customHeight="1">
      <c r="A13" s="87" t="s">
        <v>22</v>
      </c>
      <c r="B13" s="364" t="s">
        <v>5</v>
      </c>
      <c r="C13" s="365"/>
      <c r="D13" s="76">
        <f aca="true" t="shared" si="1" ref="D13:U13">D14+D23</f>
        <v>29198857</v>
      </c>
      <c r="E13" s="76">
        <f t="shared" si="1"/>
        <v>28715611</v>
      </c>
      <c r="F13" s="24">
        <f t="shared" si="1"/>
        <v>37292682</v>
      </c>
      <c r="G13" s="24">
        <v>30870576</v>
      </c>
      <c r="H13" s="154">
        <f t="shared" si="1"/>
        <v>44434455</v>
      </c>
      <c r="I13" s="24">
        <f t="shared" si="1"/>
        <v>29868206</v>
      </c>
      <c r="J13" s="298">
        <f t="shared" si="1"/>
        <v>30327544</v>
      </c>
      <c r="K13" s="285">
        <f t="shared" si="1"/>
        <v>31130206</v>
      </c>
      <c r="L13" s="24">
        <f t="shared" si="1"/>
        <v>33812000</v>
      </c>
      <c r="M13" s="24">
        <f t="shared" si="1"/>
        <v>31150000</v>
      </c>
      <c r="N13" s="24">
        <f t="shared" si="1"/>
        <v>26879112</v>
      </c>
      <c r="O13" s="24">
        <f t="shared" si="1"/>
        <v>26628758</v>
      </c>
      <c r="P13" s="24">
        <f t="shared" si="1"/>
        <v>29878242</v>
      </c>
      <c r="Q13" s="25">
        <f t="shared" si="1"/>
        <v>26814000</v>
      </c>
      <c r="R13" s="25">
        <f t="shared" si="1"/>
        <v>29538747</v>
      </c>
      <c r="S13" s="24">
        <f t="shared" si="1"/>
        <v>0</v>
      </c>
      <c r="T13" s="24">
        <f t="shared" si="1"/>
        <v>0</v>
      </c>
      <c r="U13" s="26">
        <f t="shared" si="1"/>
        <v>0</v>
      </c>
    </row>
    <row r="14" spans="1:21" s="5" customFormat="1" ht="21" customHeight="1">
      <c r="A14" s="8" t="s">
        <v>20</v>
      </c>
      <c r="B14" s="38"/>
      <c r="C14" s="39" t="s">
        <v>3</v>
      </c>
      <c r="D14" s="83">
        <v>22990261</v>
      </c>
      <c r="E14" s="32">
        <v>24304166</v>
      </c>
      <c r="F14" s="32">
        <v>26924305</v>
      </c>
      <c r="G14" s="83">
        <v>25672147</v>
      </c>
      <c r="H14" s="155">
        <v>27104949</v>
      </c>
      <c r="I14" s="32">
        <v>26950000</v>
      </c>
      <c r="J14" s="299">
        <v>26330000</v>
      </c>
      <c r="K14" s="32">
        <v>25972000</v>
      </c>
      <c r="L14" s="32">
        <v>26162000</v>
      </c>
      <c r="M14" s="32">
        <v>26301450</v>
      </c>
      <c r="N14" s="32">
        <v>26379364</v>
      </c>
      <c r="O14" s="32">
        <v>26328758</v>
      </c>
      <c r="P14" s="32">
        <v>26383646</v>
      </c>
      <c r="Q14" s="32">
        <v>26514000</v>
      </c>
      <c r="R14" s="32">
        <v>26375247</v>
      </c>
      <c r="S14" s="32">
        <f>S15+S16+S17+S18+S19+S20+S21+S22</f>
        <v>0</v>
      </c>
      <c r="T14" s="32">
        <f>T15+T16+T17+T18+T19+T20+T21+T22</f>
        <v>0</v>
      </c>
      <c r="U14" s="121">
        <f>U15+U16+U17+U18+U19+U20+U21+U22</f>
        <v>0</v>
      </c>
    </row>
    <row r="15" spans="1:23" s="52" customFormat="1" ht="19.5" customHeight="1">
      <c r="A15" s="89"/>
      <c r="B15" s="385" t="s">
        <v>27</v>
      </c>
      <c r="C15" s="90" t="s">
        <v>49</v>
      </c>
      <c r="D15" s="91">
        <v>139165</v>
      </c>
      <c r="E15" s="91">
        <v>200128</v>
      </c>
      <c r="F15" s="48">
        <v>626100</v>
      </c>
      <c r="G15" s="355">
        <v>324122</v>
      </c>
      <c r="H15" s="153">
        <v>1058000</v>
      </c>
      <c r="I15" s="48">
        <v>1220000</v>
      </c>
      <c r="J15" s="300">
        <v>550000</v>
      </c>
      <c r="K15" s="283">
        <v>542000</v>
      </c>
      <c r="L15" s="48">
        <v>580000</v>
      </c>
      <c r="M15" s="48">
        <v>520000</v>
      </c>
      <c r="N15" s="48">
        <v>350000</v>
      </c>
      <c r="O15" s="48">
        <v>250000</v>
      </c>
      <c r="P15" s="48">
        <v>150000</v>
      </c>
      <c r="Q15" s="49">
        <v>200000</v>
      </c>
      <c r="R15" s="49">
        <v>170000</v>
      </c>
      <c r="S15" s="48"/>
      <c r="T15" s="48"/>
      <c r="U15" s="50"/>
      <c r="V15" s="51"/>
      <c r="W15" s="51"/>
    </row>
    <row r="16" spans="1:21" s="52" customFormat="1" ht="26.25" customHeight="1">
      <c r="A16" s="89"/>
      <c r="B16" s="386"/>
      <c r="C16" s="90" t="s">
        <v>53</v>
      </c>
      <c r="D16" s="91">
        <v>0</v>
      </c>
      <c r="E16" s="91">
        <v>0</v>
      </c>
      <c r="F16" s="48">
        <v>42000</v>
      </c>
      <c r="G16" s="355">
        <f>SUM('Załącznik nr 2 WPF '!G31)</f>
        <v>0</v>
      </c>
      <c r="H16" s="153">
        <f>SUM('Załącznik nr 2 WPF '!H31)</f>
        <v>42000</v>
      </c>
      <c r="I16" s="48">
        <v>46400</v>
      </c>
      <c r="J16" s="300"/>
      <c r="K16" s="283"/>
      <c r="L16" s="48"/>
      <c r="M16" s="48"/>
      <c r="N16" s="48"/>
      <c r="O16" s="48"/>
      <c r="P16" s="48"/>
      <c r="Q16" s="48"/>
      <c r="R16" s="48"/>
      <c r="S16" s="48"/>
      <c r="T16" s="48"/>
      <c r="U16" s="50"/>
    </row>
    <row r="17" spans="1:21" s="12" customFormat="1" ht="25.5">
      <c r="A17" s="92"/>
      <c r="B17" s="386"/>
      <c r="C17" s="93" t="s">
        <v>39</v>
      </c>
      <c r="D17" s="94">
        <v>9105588</v>
      </c>
      <c r="E17" s="94">
        <v>9355711</v>
      </c>
      <c r="F17" s="14">
        <v>10016456</v>
      </c>
      <c r="G17" s="355">
        <v>9574168</v>
      </c>
      <c r="H17" s="153">
        <v>10788786</v>
      </c>
      <c r="I17" s="14">
        <v>10800000</v>
      </c>
      <c r="J17" s="301">
        <v>10800000</v>
      </c>
      <c r="K17" s="286">
        <v>10800000</v>
      </c>
      <c r="L17" s="14">
        <v>10800000</v>
      </c>
      <c r="M17" s="14">
        <v>10850000</v>
      </c>
      <c r="N17" s="14">
        <v>10850000</v>
      </c>
      <c r="O17" s="14">
        <v>10850000</v>
      </c>
      <c r="P17" s="14">
        <v>10850000</v>
      </c>
      <c r="Q17" s="28">
        <v>10870000</v>
      </c>
      <c r="R17" s="28">
        <v>10871000</v>
      </c>
      <c r="S17" s="14"/>
      <c r="T17" s="14"/>
      <c r="U17" s="29"/>
    </row>
    <row r="18" spans="1:21" ht="25.5" customHeight="1">
      <c r="A18" s="84"/>
      <c r="B18" s="386"/>
      <c r="C18" s="95" t="s">
        <v>205</v>
      </c>
      <c r="D18" s="96">
        <v>2606020</v>
      </c>
      <c r="E18" s="96">
        <v>2510265</v>
      </c>
      <c r="F18" s="13">
        <v>2725294</v>
      </c>
      <c r="G18" s="355">
        <v>2632566</v>
      </c>
      <c r="H18" s="153">
        <v>2836000</v>
      </c>
      <c r="I18" s="13">
        <v>2836000</v>
      </c>
      <c r="J18" s="302">
        <v>2836000</v>
      </c>
      <c r="K18" s="287">
        <v>2836000</v>
      </c>
      <c r="L18" s="13">
        <v>2847000</v>
      </c>
      <c r="M18" s="13">
        <v>2850000</v>
      </c>
      <c r="N18" s="13">
        <v>2850000</v>
      </c>
      <c r="O18" s="13">
        <v>2850000</v>
      </c>
      <c r="P18" s="13">
        <v>2854000</v>
      </c>
      <c r="Q18" s="30">
        <v>2854000</v>
      </c>
      <c r="R18" s="30">
        <v>2860000</v>
      </c>
      <c r="S18" s="13"/>
      <c r="T18" s="13">
        <f>S18*102.5/100</f>
        <v>0</v>
      </c>
      <c r="U18" s="15">
        <f>T18*102.5/100</f>
        <v>0</v>
      </c>
    </row>
    <row r="19" spans="1:21" s="52" customFormat="1" ht="38.25">
      <c r="A19" s="89"/>
      <c r="B19" s="386"/>
      <c r="C19" s="90" t="s">
        <v>92</v>
      </c>
      <c r="D19" s="91">
        <v>0</v>
      </c>
      <c r="E19" s="91">
        <v>0</v>
      </c>
      <c r="F19" s="48">
        <f>'Załącznik nr 2 WPF '!G10</f>
        <v>0</v>
      </c>
      <c r="G19" s="355">
        <f>'Załącznik nr 2 WPF '!G10</f>
        <v>0</v>
      </c>
      <c r="H19" s="153">
        <f>'Załącznik nr 2 WPF '!H10</f>
        <v>0</v>
      </c>
      <c r="I19" s="48">
        <f>'Załącznik nr 2 WPF '!I10</f>
        <v>0</v>
      </c>
      <c r="J19" s="300">
        <f>'Załącznik nr 2 WPF '!J10</f>
        <v>0</v>
      </c>
      <c r="K19" s="283">
        <f>'Załącznik nr 2 WPF '!K10</f>
        <v>0</v>
      </c>
      <c r="L19" s="48">
        <f>'Załącznik nr 2 WPF '!O10</f>
        <v>0</v>
      </c>
      <c r="M19" s="48">
        <f>'Załącznik nr 2 WPF '!P10</f>
        <v>0</v>
      </c>
      <c r="N19" s="48">
        <f>'Załącznik nr 2 WPF '!Q10</f>
        <v>0</v>
      </c>
      <c r="O19" s="48">
        <f>'Załącznik nr 2 WPF '!R10</f>
        <v>0</v>
      </c>
      <c r="P19" s="48">
        <f>'Załącznik nr 2 WPF '!S10</f>
        <v>0</v>
      </c>
      <c r="Q19" s="48">
        <f>'Załącznik nr 2 WPF '!T10</f>
        <v>0</v>
      </c>
      <c r="R19" s="48">
        <f>'Załącznik nr 2 WPF '!U10</f>
        <v>0</v>
      </c>
      <c r="S19" s="48">
        <f>'Załącznik nr 2 WPF '!V10</f>
        <v>0</v>
      </c>
      <c r="T19" s="48">
        <f>'Załącznik nr 2 WPF '!W10</f>
        <v>0</v>
      </c>
      <c r="U19" s="50">
        <f>'Załącznik nr 2 WPF '!X10</f>
        <v>0</v>
      </c>
    </row>
    <row r="20" spans="1:23" ht="38.25">
      <c r="A20" s="84"/>
      <c r="B20" s="386"/>
      <c r="C20" s="95" t="s">
        <v>93</v>
      </c>
      <c r="D20" s="96">
        <v>0</v>
      </c>
      <c r="E20" s="96">
        <v>0</v>
      </c>
      <c r="F20" s="13">
        <f>'Załącznik nr 2 WPF '!G24</f>
        <v>0</v>
      </c>
      <c r="G20" s="14">
        <f>'Załącznik nr 2 WPF '!G24</f>
        <v>0</v>
      </c>
      <c r="H20" s="156">
        <f>'Załącznik nr 2 WPF '!H24</f>
        <v>56003</v>
      </c>
      <c r="I20" s="13">
        <f>'Załącznik nr 2 WPF '!I24</f>
        <v>55520</v>
      </c>
      <c r="J20" s="302">
        <f>'Załącznik nr 2 WPF '!J24</f>
        <v>55038</v>
      </c>
      <c r="K20" s="287">
        <f>'Załącznik nr 2 WPF '!K24</f>
        <v>54555</v>
      </c>
      <c r="L20" s="13">
        <f>SUM('Załącznik nr 2 WPF '!L24)</f>
        <v>54072</v>
      </c>
      <c r="M20" s="13">
        <v>53590</v>
      </c>
      <c r="N20" s="13">
        <v>53107</v>
      </c>
      <c r="O20" s="13">
        <v>52624</v>
      </c>
      <c r="P20" s="13">
        <v>52142</v>
      </c>
      <c r="Q20" s="13">
        <f>'Załącznik nr 2 WPF '!T24</f>
        <v>0</v>
      </c>
      <c r="R20" s="13">
        <f>'Załącznik nr 2 WPF '!U24</f>
        <v>0</v>
      </c>
      <c r="S20" s="13">
        <f>'Załącznik nr 2 WPF '!V24</f>
        <v>0</v>
      </c>
      <c r="T20" s="13">
        <f>'Załącznik nr 2 WPF '!W24</f>
        <v>0</v>
      </c>
      <c r="U20" s="15">
        <f>'Załącznik nr 2 WPF '!X24</f>
        <v>0</v>
      </c>
      <c r="V20" s="7"/>
      <c r="W20" s="7"/>
    </row>
    <row r="21" spans="1:23" ht="25.5">
      <c r="A21" s="84"/>
      <c r="B21" s="386"/>
      <c r="C21" s="95" t="s">
        <v>51</v>
      </c>
      <c r="D21" s="97">
        <v>0</v>
      </c>
      <c r="E21" s="97">
        <v>0</v>
      </c>
      <c r="F21" s="13">
        <f>'Załącznik nr 2 WPF '!G31</f>
        <v>0</v>
      </c>
      <c r="G21" s="356"/>
      <c r="H21" s="195"/>
      <c r="I21" s="13">
        <f>'Załącznik nr 2 WPF '!I31</f>
        <v>0</v>
      </c>
      <c r="J21" s="302">
        <f>'Załącznik nr 2 WPF '!J31</f>
        <v>0</v>
      </c>
      <c r="K21" s="287">
        <f>'Załącznik nr 2 WPF '!K31</f>
        <v>0</v>
      </c>
      <c r="L21" s="13">
        <f>'Załącznik nr 2 WPF '!O31</f>
        <v>0</v>
      </c>
      <c r="M21" s="13">
        <f>'Załącznik nr 2 WPF '!P31</f>
        <v>0</v>
      </c>
      <c r="N21" s="13">
        <f>'Załącznik nr 2 WPF '!Q31</f>
        <v>0</v>
      </c>
      <c r="O21" s="13">
        <f>'Załącznik nr 2 WPF '!R31</f>
        <v>0</v>
      </c>
      <c r="P21" s="13">
        <f>'Załącznik nr 2 WPF '!S31</f>
        <v>0</v>
      </c>
      <c r="Q21" s="13">
        <f>'Załącznik nr 2 WPF '!T31</f>
        <v>0</v>
      </c>
      <c r="R21" s="13">
        <f>'Załącznik nr 2 WPF '!U31</f>
        <v>0</v>
      </c>
      <c r="S21" s="13">
        <f>'Załącznik nr 2 WPF '!V31</f>
        <v>0</v>
      </c>
      <c r="T21" s="13">
        <f>'Załącznik nr 2 WPF '!W31</f>
        <v>0</v>
      </c>
      <c r="U21" s="15">
        <f>'Załącznik nr 2 WPF '!X31</f>
        <v>0</v>
      </c>
      <c r="V21" s="7"/>
      <c r="W21" s="7"/>
    </row>
    <row r="22" spans="1:23" ht="25.5">
      <c r="A22" s="84"/>
      <c r="B22" s="387"/>
      <c r="C22" s="95" t="s">
        <v>94</v>
      </c>
      <c r="D22" s="97">
        <v>12955573</v>
      </c>
      <c r="E22" s="97">
        <v>13998320</v>
      </c>
      <c r="F22" s="13">
        <v>15527455</v>
      </c>
      <c r="G22" s="355">
        <v>15773858</v>
      </c>
      <c r="H22" s="153">
        <v>15216163</v>
      </c>
      <c r="I22" s="14">
        <v>14015080</v>
      </c>
      <c r="J22" s="301">
        <v>14111962</v>
      </c>
      <c r="K22" s="286">
        <v>13762445</v>
      </c>
      <c r="L22" s="13">
        <v>13900928</v>
      </c>
      <c r="M22" s="13">
        <v>14047860</v>
      </c>
      <c r="N22" s="13">
        <v>14116258</v>
      </c>
      <c r="O22" s="13">
        <v>14346134</v>
      </c>
      <c r="P22" s="13">
        <v>14497504</v>
      </c>
      <c r="Q22" s="30">
        <v>14610000</v>
      </c>
      <c r="R22" s="30">
        <v>14467000</v>
      </c>
      <c r="S22" s="13"/>
      <c r="T22" s="13">
        <f>S22*101%</f>
        <v>0</v>
      </c>
      <c r="U22" s="15">
        <f>T22*101%</f>
        <v>0</v>
      </c>
      <c r="V22" s="7"/>
      <c r="W22" s="7"/>
    </row>
    <row r="23" spans="1:21" s="317" customFormat="1" ht="12.75">
      <c r="A23" s="80" t="s">
        <v>21</v>
      </c>
      <c r="B23" s="81"/>
      <c r="C23" s="82" t="s">
        <v>4</v>
      </c>
      <c r="D23" s="83">
        <v>6208596</v>
      </c>
      <c r="E23" s="83">
        <f>SUM(E24:E25)</f>
        <v>4411445</v>
      </c>
      <c r="F23" s="83">
        <v>10368377</v>
      </c>
      <c r="G23" s="83">
        <f>SUM(G24:G25)</f>
        <v>5198428</v>
      </c>
      <c r="H23" s="155">
        <f aca="true" t="shared" si="2" ref="H23:U23">SUM(H24:H25)</f>
        <v>17329506</v>
      </c>
      <c r="I23" s="83">
        <f t="shared" si="2"/>
        <v>2918206</v>
      </c>
      <c r="J23" s="315">
        <f t="shared" si="2"/>
        <v>3997544</v>
      </c>
      <c r="K23" s="83">
        <f t="shared" si="2"/>
        <v>5158206</v>
      </c>
      <c r="L23" s="83">
        <f t="shared" si="2"/>
        <v>7650000</v>
      </c>
      <c r="M23" s="83">
        <f t="shared" si="2"/>
        <v>4848550</v>
      </c>
      <c r="N23" s="83">
        <f t="shared" si="2"/>
        <v>499748</v>
      </c>
      <c r="O23" s="83">
        <f t="shared" si="2"/>
        <v>300000</v>
      </c>
      <c r="P23" s="83">
        <f t="shared" si="2"/>
        <v>3494596</v>
      </c>
      <c r="Q23" s="83">
        <f t="shared" si="2"/>
        <v>300000</v>
      </c>
      <c r="R23" s="83">
        <f t="shared" si="2"/>
        <v>3163500</v>
      </c>
      <c r="S23" s="83">
        <f t="shared" si="2"/>
        <v>0</v>
      </c>
      <c r="T23" s="83">
        <f t="shared" si="2"/>
        <v>0</v>
      </c>
      <c r="U23" s="316">
        <f t="shared" si="2"/>
        <v>0</v>
      </c>
    </row>
    <row r="24" spans="1:21" s="9" customFormat="1" ht="38.25">
      <c r="A24" s="8"/>
      <c r="B24" s="388" t="s">
        <v>27</v>
      </c>
      <c r="C24" s="165" t="s">
        <v>52</v>
      </c>
      <c r="D24" s="166">
        <v>0</v>
      </c>
      <c r="E24" s="166">
        <v>0</v>
      </c>
      <c r="F24" s="166">
        <v>8887169</v>
      </c>
      <c r="G24" s="314">
        <v>3086033</v>
      </c>
      <c r="H24" s="167">
        <f>'Załącznik nr 2 WPF '!H38</f>
        <v>14355006</v>
      </c>
      <c r="I24" s="166">
        <v>2718206</v>
      </c>
      <c r="J24" s="303">
        <f>'Załącznik nr 2 WPF '!J38</f>
        <v>3797544</v>
      </c>
      <c r="K24" s="166">
        <f>'Załącznik nr 2 WPF '!K38</f>
        <v>5008206</v>
      </c>
      <c r="L24" s="314">
        <v>7400000</v>
      </c>
      <c r="M24" s="166">
        <f>SUM('Załącznik nr 2 WPF '!M38)</f>
        <v>3800000</v>
      </c>
      <c r="N24" s="166">
        <f>'Załącznik nr 2 WPF '!Q38</f>
        <v>0</v>
      </c>
      <c r="O24" s="166">
        <f>'Załącznik nr 2 WPF '!R38</f>
        <v>0</v>
      </c>
      <c r="P24" s="166"/>
      <c r="Q24" s="166">
        <f>'Załącznik nr 2 WPF '!T38</f>
        <v>0</v>
      </c>
      <c r="R24" s="166">
        <f>'Załącznik nr 2 WPF '!U38</f>
        <v>0</v>
      </c>
      <c r="S24" s="166">
        <f>'Załącznik nr 2 WPF '!V38</f>
        <v>0</v>
      </c>
      <c r="T24" s="166">
        <f>'Załącznik nr 2 WPF '!W38</f>
        <v>0</v>
      </c>
      <c r="U24" s="168">
        <f>'Załącznik nr 2 WPF '!X38</f>
        <v>0</v>
      </c>
    </row>
    <row r="25" spans="1:21" s="9" customFormat="1" ht="25.5">
      <c r="A25" s="8"/>
      <c r="B25" s="389"/>
      <c r="C25" s="165" t="s">
        <v>102</v>
      </c>
      <c r="D25" s="166">
        <v>6208596</v>
      </c>
      <c r="E25" s="166">
        <v>4411445</v>
      </c>
      <c r="F25" s="166">
        <v>1481208</v>
      </c>
      <c r="G25" s="314">
        <v>2112395</v>
      </c>
      <c r="H25" s="167">
        <v>2974500</v>
      </c>
      <c r="I25" s="318">
        <v>200000</v>
      </c>
      <c r="J25" s="324">
        <v>200000</v>
      </c>
      <c r="K25" s="318">
        <v>150000</v>
      </c>
      <c r="L25" s="318">
        <v>250000</v>
      </c>
      <c r="M25" s="318">
        <v>1048550</v>
      </c>
      <c r="N25" s="318">
        <v>499748</v>
      </c>
      <c r="O25" s="318">
        <v>300000</v>
      </c>
      <c r="P25" s="318">
        <v>3494596</v>
      </c>
      <c r="Q25" s="318">
        <v>300000</v>
      </c>
      <c r="R25" s="318">
        <v>3163500</v>
      </c>
      <c r="S25" s="318"/>
      <c r="T25" s="318"/>
      <c r="U25" s="319"/>
    </row>
    <row r="26" spans="1:21" s="12" customFormat="1" ht="25.5">
      <c r="A26" s="87" t="s">
        <v>23</v>
      </c>
      <c r="B26" s="98"/>
      <c r="C26" s="99" t="s">
        <v>54</v>
      </c>
      <c r="D26" s="76">
        <f aca="true" t="shared" si="3" ref="D26:U26">D9-D13</f>
        <v>-3470294</v>
      </c>
      <c r="E26" s="76">
        <f t="shared" si="3"/>
        <v>-3385229</v>
      </c>
      <c r="F26" s="24">
        <f t="shared" si="3"/>
        <v>-6372427</v>
      </c>
      <c r="G26" s="24">
        <f>G9-G13</f>
        <v>-1084180</v>
      </c>
      <c r="H26" s="154">
        <f t="shared" si="3"/>
        <v>-10554000</v>
      </c>
      <c r="I26" s="24">
        <f t="shared" si="3"/>
        <v>1986794</v>
      </c>
      <c r="J26" s="298">
        <f t="shared" si="3"/>
        <v>1272456</v>
      </c>
      <c r="K26" s="285">
        <f t="shared" si="3"/>
        <v>569794</v>
      </c>
      <c r="L26" s="24">
        <f t="shared" si="3"/>
        <v>-1172000</v>
      </c>
      <c r="M26" s="24">
        <f t="shared" si="3"/>
        <v>-300000</v>
      </c>
      <c r="N26" s="24">
        <f t="shared" si="3"/>
        <v>4070888</v>
      </c>
      <c r="O26" s="24">
        <f t="shared" si="3"/>
        <v>4321242</v>
      </c>
      <c r="P26" s="24">
        <f t="shared" si="3"/>
        <v>1378758</v>
      </c>
      <c r="Q26" s="24">
        <f t="shared" si="3"/>
        <v>3672000</v>
      </c>
      <c r="R26" s="24">
        <f t="shared" si="3"/>
        <v>1119253</v>
      </c>
      <c r="S26" s="24">
        <f t="shared" si="3"/>
        <v>0</v>
      </c>
      <c r="T26" s="24">
        <f t="shared" si="3"/>
        <v>0</v>
      </c>
      <c r="U26" s="26">
        <f t="shared" si="3"/>
        <v>0</v>
      </c>
    </row>
    <row r="27" spans="1:23" s="45" customFormat="1" ht="12.75">
      <c r="A27" s="87" t="s">
        <v>26</v>
      </c>
      <c r="B27" s="364" t="s">
        <v>6</v>
      </c>
      <c r="C27" s="365"/>
      <c r="D27" s="76">
        <f aca="true" t="shared" si="4" ref="D27:U27">D28+D33+D34+D35</f>
        <v>5643400</v>
      </c>
      <c r="E27" s="76">
        <f t="shared" si="4"/>
        <v>6133706</v>
      </c>
      <c r="F27" s="24">
        <f t="shared" si="4"/>
        <v>8539327</v>
      </c>
      <c r="G27" s="24">
        <f>G28+G33+G34+G35</f>
        <v>5803327</v>
      </c>
      <c r="H27" s="154">
        <f t="shared" si="4"/>
        <v>12285400</v>
      </c>
      <c r="I27" s="24">
        <f t="shared" si="4"/>
        <v>0</v>
      </c>
      <c r="J27" s="298">
        <f t="shared" si="4"/>
        <v>992544</v>
      </c>
      <c r="K27" s="285">
        <f t="shared" si="4"/>
        <v>1271750</v>
      </c>
      <c r="L27" s="24">
        <f t="shared" si="4"/>
        <v>2672000</v>
      </c>
      <c r="M27" s="24">
        <f t="shared" si="4"/>
        <v>3800000</v>
      </c>
      <c r="N27" s="24">
        <f t="shared" si="4"/>
        <v>0</v>
      </c>
      <c r="O27" s="24">
        <f t="shared" si="4"/>
        <v>0</v>
      </c>
      <c r="P27" s="24">
        <f t="shared" si="4"/>
        <v>0</v>
      </c>
      <c r="Q27" s="25">
        <f t="shared" si="4"/>
        <v>0</v>
      </c>
      <c r="R27" s="25">
        <f t="shared" si="4"/>
        <v>0</v>
      </c>
      <c r="S27" s="24">
        <f t="shared" si="4"/>
        <v>0</v>
      </c>
      <c r="T27" s="24">
        <f t="shared" si="4"/>
        <v>0</v>
      </c>
      <c r="U27" s="26">
        <f t="shared" si="4"/>
        <v>0</v>
      </c>
      <c r="V27" s="47"/>
      <c r="W27" s="47"/>
    </row>
    <row r="28" spans="1:23" s="5" customFormat="1" ht="12.75">
      <c r="A28" s="8" t="s">
        <v>20</v>
      </c>
      <c r="B28" s="38"/>
      <c r="C28" s="39" t="s">
        <v>7</v>
      </c>
      <c r="D28" s="32">
        <f aca="true" t="shared" si="5" ref="D28:U28">D29+D30+D31</f>
        <v>1629132</v>
      </c>
      <c r="E28" s="32">
        <f t="shared" si="5"/>
        <v>4840000</v>
      </c>
      <c r="F28" s="27">
        <f t="shared" si="5"/>
        <v>7321900</v>
      </c>
      <c r="G28" s="20">
        <f>G29+G30+G31</f>
        <v>4585900</v>
      </c>
      <c r="H28" s="152">
        <f t="shared" si="5"/>
        <v>9581153</v>
      </c>
      <c r="I28" s="27">
        <f t="shared" si="5"/>
        <v>0</v>
      </c>
      <c r="J28" s="304">
        <f t="shared" si="5"/>
        <v>642544</v>
      </c>
      <c r="K28" s="288">
        <f t="shared" si="5"/>
        <v>1271750</v>
      </c>
      <c r="L28" s="27">
        <f t="shared" si="5"/>
        <v>2672000</v>
      </c>
      <c r="M28" s="27">
        <f t="shared" si="5"/>
        <v>3800000</v>
      </c>
      <c r="N28" s="27">
        <f t="shared" si="5"/>
        <v>0</v>
      </c>
      <c r="O28" s="27">
        <f t="shared" si="5"/>
        <v>0</v>
      </c>
      <c r="P28" s="27">
        <f t="shared" si="5"/>
        <v>0</v>
      </c>
      <c r="Q28" s="27">
        <f t="shared" si="5"/>
        <v>0</v>
      </c>
      <c r="R28" s="27">
        <f t="shared" si="5"/>
        <v>0</v>
      </c>
      <c r="S28" s="27">
        <f t="shared" si="5"/>
        <v>0</v>
      </c>
      <c r="T28" s="27">
        <f t="shared" si="5"/>
        <v>0</v>
      </c>
      <c r="U28" s="33">
        <f t="shared" si="5"/>
        <v>0</v>
      </c>
      <c r="V28" s="10"/>
      <c r="W28" s="190"/>
    </row>
    <row r="29" spans="1:23" ht="12.75">
      <c r="A29" s="84"/>
      <c r="B29" s="375" t="s">
        <v>27</v>
      </c>
      <c r="C29" s="95" t="s">
        <v>8</v>
      </c>
      <c r="D29" s="96">
        <v>200000</v>
      </c>
      <c r="E29" s="96">
        <v>0</v>
      </c>
      <c r="F29" s="13">
        <v>600000</v>
      </c>
      <c r="G29" s="355"/>
      <c r="H29" s="153">
        <v>850000</v>
      </c>
      <c r="I29" s="13"/>
      <c r="J29" s="302"/>
      <c r="K29" s="287"/>
      <c r="L29" s="13"/>
      <c r="M29" s="13"/>
      <c r="N29" s="13"/>
      <c r="O29" s="13"/>
      <c r="P29" s="13"/>
      <c r="Q29" s="30"/>
      <c r="R29" s="30"/>
      <c r="S29" s="13"/>
      <c r="T29" s="13"/>
      <c r="U29" s="15"/>
      <c r="V29" s="7"/>
      <c r="W29" s="7"/>
    </row>
    <row r="30" spans="1:23" ht="12.75">
      <c r="A30" s="84"/>
      <c r="B30" s="376"/>
      <c r="C30" s="95" t="s">
        <v>9</v>
      </c>
      <c r="D30" s="96">
        <v>1429132</v>
      </c>
      <c r="E30" s="96">
        <v>4840000</v>
      </c>
      <c r="F30" s="13">
        <v>6721900</v>
      </c>
      <c r="G30" s="355">
        <v>4585900</v>
      </c>
      <c r="H30" s="153">
        <v>8731153</v>
      </c>
      <c r="I30" s="13"/>
      <c r="J30" s="302">
        <v>642544</v>
      </c>
      <c r="K30" s="287">
        <v>1271750</v>
      </c>
      <c r="L30" s="13">
        <v>2672000</v>
      </c>
      <c r="M30" s="13">
        <v>3800000</v>
      </c>
      <c r="N30" s="13"/>
      <c r="O30" s="13"/>
      <c r="P30" s="13"/>
      <c r="Q30" s="30"/>
      <c r="R30" s="30"/>
      <c r="S30" s="13"/>
      <c r="T30" s="13"/>
      <c r="U30" s="15"/>
      <c r="V30" s="7"/>
      <c r="W30" s="7"/>
    </row>
    <row r="31" spans="1:21" ht="12.75">
      <c r="A31" s="84"/>
      <c r="B31" s="376"/>
      <c r="C31" s="93" t="s">
        <v>10</v>
      </c>
      <c r="D31" s="94">
        <v>0</v>
      </c>
      <c r="E31" s="94">
        <v>0</v>
      </c>
      <c r="F31" s="14">
        <v>0</v>
      </c>
      <c r="G31" s="355"/>
      <c r="H31" s="153"/>
      <c r="I31" s="14"/>
      <c r="J31" s="301">
        <f>900000-900000</f>
        <v>0</v>
      </c>
      <c r="K31" s="286"/>
      <c r="L31" s="14"/>
      <c r="M31" s="14"/>
      <c r="N31" s="14"/>
      <c r="O31" s="14"/>
      <c r="P31" s="14"/>
      <c r="Q31" s="28"/>
      <c r="R31" s="28"/>
      <c r="S31" s="14"/>
      <c r="T31" s="14"/>
      <c r="U31" s="29"/>
    </row>
    <row r="32" spans="1:21" ht="63.75">
      <c r="A32" s="84"/>
      <c r="B32" s="377"/>
      <c r="C32" s="86" t="s">
        <v>103</v>
      </c>
      <c r="D32" s="77">
        <v>0</v>
      </c>
      <c r="E32" s="77"/>
      <c r="F32" s="23"/>
      <c r="G32" s="359"/>
      <c r="H32" s="153"/>
      <c r="I32" s="23"/>
      <c r="J32" s="297"/>
      <c r="K32" s="284"/>
      <c r="L32" s="23"/>
      <c r="M32" s="23"/>
      <c r="N32" s="23"/>
      <c r="O32" s="23"/>
      <c r="P32" s="23"/>
      <c r="Q32" s="34"/>
      <c r="R32" s="34"/>
      <c r="S32" s="23"/>
      <c r="T32" s="23"/>
      <c r="U32" s="35"/>
    </row>
    <row r="33" spans="1:21" s="5" customFormat="1" ht="12.75">
      <c r="A33" s="8" t="s">
        <v>21</v>
      </c>
      <c r="B33" s="38"/>
      <c r="C33" s="39" t="s">
        <v>11</v>
      </c>
      <c r="D33" s="32">
        <v>0</v>
      </c>
      <c r="E33" s="32">
        <v>0</v>
      </c>
      <c r="F33" s="27">
        <v>0</v>
      </c>
      <c r="G33" s="20"/>
      <c r="H33" s="152"/>
      <c r="I33" s="27"/>
      <c r="J33" s="304">
        <v>350000</v>
      </c>
      <c r="K33" s="288"/>
      <c r="L33" s="27"/>
      <c r="M33" s="27"/>
      <c r="N33" s="27"/>
      <c r="O33" s="27"/>
      <c r="P33" s="27"/>
      <c r="Q33" s="31"/>
      <c r="R33" s="31"/>
      <c r="S33" s="27"/>
      <c r="T33" s="27"/>
      <c r="U33" s="33"/>
    </row>
    <row r="34" spans="1:21" s="5" customFormat="1" ht="12.75">
      <c r="A34" s="8" t="s">
        <v>24</v>
      </c>
      <c r="B34" s="38"/>
      <c r="C34" s="39" t="s">
        <v>12</v>
      </c>
      <c r="D34" s="32">
        <v>1047668</v>
      </c>
      <c r="E34" s="32">
        <v>0</v>
      </c>
      <c r="F34" s="27">
        <v>0</v>
      </c>
      <c r="G34" s="20"/>
      <c r="H34" s="152"/>
      <c r="I34" s="27"/>
      <c r="J34" s="304"/>
      <c r="K34" s="288"/>
      <c r="L34" s="27"/>
      <c r="M34" s="27"/>
      <c r="N34" s="27"/>
      <c r="O34" s="27"/>
      <c r="P34" s="27"/>
      <c r="Q34" s="31"/>
      <c r="R34" s="31"/>
      <c r="S34" s="27"/>
      <c r="T34" s="27"/>
      <c r="U34" s="33"/>
    </row>
    <row r="35" spans="1:21" s="5" customFormat="1" ht="12.75">
      <c r="A35" s="8" t="s">
        <v>25</v>
      </c>
      <c r="B35" s="38"/>
      <c r="C35" s="39" t="s">
        <v>13</v>
      </c>
      <c r="D35" s="32">
        <v>2966600</v>
      </c>
      <c r="E35" s="32">
        <v>1293706</v>
      </c>
      <c r="F35" s="27">
        <f>SUM(E44)</f>
        <v>1217427</v>
      </c>
      <c r="G35" s="20">
        <v>1217427</v>
      </c>
      <c r="H35" s="152">
        <v>2704247</v>
      </c>
      <c r="I35" s="27"/>
      <c r="J35" s="304"/>
      <c r="K35" s="288"/>
      <c r="L35" s="27"/>
      <c r="M35" s="27"/>
      <c r="N35" s="27"/>
      <c r="O35" s="27"/>
      <c r="P35" s="27"/>
      <c r="Q35" s="31"/>
      <c r="R35" s="31"/>
      <c r="S35" s="27"/>
      <c r="T35" s="27"/>
      <c r="U35" s="33"/>
    </row>
    <row r="36" spans="1:23" s="45" customFormat="1" ht="12.75">
      <c r="A36" s="87" t="s">
        <v>29</v>
      </c>
      <c r="B36" s="364" t="s">
        <v>14</v>
      </c>
      <c r="C36" s="365"/>
      <c r="D36" s="76">
        <f aca="true" t="shared" si="6" ref="D36:U36">D37+D42</f>
        <v>879400</v>
      </c>
      <c r="E36" s="76">
        <f t="shared" si="6"/>
        <v>1531050</v>
      </c>
      <c r="F36" s="24">
        <f t="shared" si="6"/>
        <v>2166900</v>
      </c>
      <c r="G36" s="24">
        <f>G37+G42</f>
        <v>2014900</v>
      </c>
      <c r="H36" s="154">
        <f t="shared" si="6"/>
        <v>1731400</v>
      </c>
      <c r="I36" s="24">
        <f t="shared" si="6"/>
        <v>1986794</v>
      </c>
      <c r="J36" s="298">
        <f t="shared" si="6"/>
        <v>2265000</v>
      </c>
      <c r="K36" s="285">
        <f t="shared" si="6"/>
        <v>1841544</v>
      </c>
      <c r="L36" s="24">
        <f t="shared" si="6"/>
        <v>1500000</v>
      </c>
      <c r="M36" s="24">
        <f t="shared" si="6"/>
        <v>3500000</v>
      </c>
      <c r="N36" s="24">
        <f t="shared" si="6"/>
        <v>4070888</v>
      </c>
      <c r="O36" s="24">
        <f t="shared" si="6"/>
        <v>4321242</v>
      </c>
      <c r="P36" s="24">
        <f t="shared" si="6"/>
        <v>1378758</v>
      </c>
      <c r="Q36" s="25">
        <f t="shared" si="6"/>
        <v>3672000</v>
      </c>
      <c r="R36" s="25">
        <f t="shared" si="6"/>
        <v>1119253</v>
      </c>
      <c r="S36" s="24">
        <f t="shared" si="6"/>
        <v>0</v>
      </c>
      <c r="T36" s="24">
        <f t="shared" si="6"/>
        <v>0</v>
      </c>
      <c r="U36" s="26">
        <f t="shared" si="6"/>
        <v>0</v>
      </c>
      <c r="V36" s="47"/>
      <c r="W36" s="47"/>
    </row>
    <row r="37" spans="1:23" s="5" customFormat="1" ht="15" customHeight="1">
      <c r="A37" s="8" t="s">
        <v>20</v>
      </c>
      <c r="B37" s="38"/>
      <c r="C37" s="39" t="s">
        <v>41</v>
      </c>
      <c r="D37" s="32">
        <f aca="true" t="shared" si="7" ref="D37:U37">D38+D39+D40</f>
        <v>879400</v>
      </c>
      <c r="E37" s="32">
        <v>1531050</v>
      </c>
      <c r="F37" s="27">
        <f t="shared" si="7"/>
        <v>1816900</v>
      </c>
      <c r="G37" s="20">
        <f>G38+G39+G40</f>
        <v>1664900</v>
      </c>
      <c r="H37" s="152">
        <f t="shared" si="7"/>
        <v>1731400</v>
      </c>
      <c r="I37" s="27">
        <f t="shared" si="7"/>
        <v>1986794</v>
      </c>
      <c r="J37" s="304">
        <f t="shared" si="7"/>
        <v>2265000</v>
      </c>
      <c r="K37" s="288">
        <f t="shared" si="7"/>
        <v>1841544</v>
      </c>
      <c r="L37" s="27">
        <f t="shared" si="7"/>
        <v>1500000</v>
      </c>
      <c r="M37" s="27">
        <f t="shared" si="7"/>
        <v>3500000</v>
      </c>
      <c r="N37" s="27">
        <v>4070888</v>
      </c>
      <c r="O37" s="27">
        <f t="shared" si="7"/>
        <v>4321242</v>
      </c>
      <c r="P37" s="27">
        <f t="shared" si="7"/>
        <v>1378758</v>
      </c>
      <c r="Q37" s="27">
        <f t="shared" si="7"/>
        <v>3672000</v>
      </c>
      <c r="R37" s="27">
        <v>1119253</v>
      </c>
      <c r="S37" s="27">
        <f t="shared" si="7"/>
        <v>0</v>
      </c>
      <c r="T37" s="27">
        <f t="shared" si="7"/>
        <v>0</v>
      </c>
      <c r="U37" s="33">
        <f t="shared" si="7"/>
        <v>0</v>
      </c>
      <c r="V37" s="9"/>
      <c r="W37" s="9"/>
    </row>
    <row r="38" spans="1:23" ht="14.25" customHeight="1">
      <c r="A38" s="84"/>
      <c r="B38" s="375" t="s">
        <v>27</v>
      </c>
      <c r="C38" s="95" t="s">
        <v>8</v>
      </c>
      <c r="D38" s="96"/>
      <c r="E38" s="96">
        <v>646650</v>
      </c>
      <c r="F38" s="13">
        <v>593500</v>
      </c>
      <c r="G38" s="355">
        <v>441500</v>
      </c>
      <c r="H38" s="153">
        <v>200000</v>
      </c>
      <c r="I38" s="13">
        <v>420000</v>
      </c>
      <c r="J38" s="302">
        <v>280000</v>
      </c>
      <c r="K38" s="287">
        <v>700000</v>
      </c>
      <c r="L38" s="13"/>
      <c r="M38" s="13"/>
      <c r="N38" s="13"/>
      <c r="O38" s="13"/>
      <c r="P38" s="13"/>
      <c r="Q38" s="30"/>
      <c r="R38" s="30"/>
      <c r="S38" s="13"/>
      <c r="T38" s="13"/>
      <c r="U38" s="15"/>
      <c r="V38" s="7"/>
      <c r="W38" s="7"/>
    </row>
    <row r="39" spans="1:25" ht="12.75">
      <c r="A39" s="84"/>
      <c r="B39" s="376"/>
      <c r="C39" s="95" t="s">
        <v>9</v>
      </c>
      <c r="D39" s="96">
        <v>879400</v>
      </c>
      <c r="E39" s="96">
        <v>884400</v>
      </c>
      <c r="F39" s="13">
        <v>1223400</v>
      </c>
      <c r="G39" s="355">
        <v>1223400</v>
      </c>
      <c r="H39" s="153">
        <v>1531400</v>
      </c>
      <c r="I39" s="13">
        <v>1566794</v>
      </c>
      <c r="J39" s="301">
        <v>1985000</v>
      </c>
      <c r="K39" s="286">
        <v>1141544</v>
      </c>
      <c r="L39" s="14">
        <v>1500000</v>
      </c>
      <c r="M39" s="14">
        <v>3500000</v>
      </c>
      <c r="N39" s="13">
        <v>4070888</v>
      </c>
      <c r="O39" s="13">
        <v>4321242</v>
      </c>
      <c r="P39" s="13">
        <v>1378758</v>
      </c>
      <c r="Q39" s="30">
        <v>3672000</v>
      </c>
      <c r="R39" s="30">
        <v>1119253</v>
      </c>
      <c r="S39" s="13">
        <f>SUM(kredyt!J17)</f>
        <v>0</v>
      </c>
      <c r="T39" s="13">
        <f>SUM(kredyt!J18)</f>
        <v>0</v>
      </c>
      <c r="U39" s="15">
        <f>SUM(kredyt!J19)</f>
        <v>0</v>
      </c>
      <c r="V39" s="241"/>
      <c r="W39" s="7"/>
      <c r="Y39" s="7">
        <f>SUM(V39:V40)</f>
        <v>0</v>
      </c>
    </row>
    <row r="40" spans="1:23" ht="15" customHeight="1">
      <c r="A40" s="84"/>
      <c r="B40" s="376"/>
      <c r="C40" s="135" t="s">
        <v>15</v>
      </c>
      <c r="D40" s="96"/>
      <c r="E40" s="96"/>
      <c r="F40" s="14"/>
      <c r="G40" s="355"/>
      <c r="H40" s="153"/>
      <c r="I40" s="14"/>
      <c r="J40" s="301"/>
      <c r="K40" s="286"/>
      <c r="L40" s="14"/>
      <c r="M40" s="14"/>
      <c r="N40" s="14"/>
      <c r="O40" s="14"/>
      <c r="P40" s="14"/>
      <c r="Q40" s="28"/>
      <c r="R40" s="28"/>
      <c r="S40" s="14"/>
      <c r="T40" s="14"/>
      <c r="U40" s="29"/>
      <c r="V40" s="241"/>
      <c r="W40" s="241"/>
    </row>
    <row r="41" spans="1:23" ht="63.75">
      <c r="A41" s="84"/>
      <c r="B41" s="377"/>
      <c r="C41" s="86" t="s">
        <v>104</v>
      </c>
      <c r="D41" s="77">
        <v>0</v>
      </c>
      <c r="E41" s="77"/>
      <c r="F41" s="23"/>
      <c r="G41" s="359"/>
      <c r="H41" s="153"/>
      <c r="I41" s="23"/>
      <c r="J41" s="297"/>
      <c r="K41" s="284"/>
      <c r="L41" s="23"/>
      <c r="M41" s="23"/>
      <c r="N41" s="23"/>
      <c r="O41" s="23"/>
      <c r="P41" s="23"/>
      <c r="Q41" s="34"/>
      <c r="R41" s="34"/>
      <c r="S41" s="23"/>
      <c r="T41" s="23"/>
      <c r="U41" s="35"/>
      <c r="V41" s="241"/>
      <c r="W41" s="7"/>
    </row>
    <row r="42" spans="1:22" s="5" customFormat="1" ht="12.75">
      <c r="A42" s="8" t="s">
        <v>21</v>
      </c>
      <c r="B42" s="38"/>
      <c r="C42" s="39" t="s">
        <v>28</v>
      </c>
      <c r="D42" s="32">
        <v>0</v>
      </c>
      <c r="E42" s="32">
        <v>0</v>
      </c>
      <c r="F42" s="27">
        <v>350000</v>
      </c>
      <c r="G42" s="20">
        <v>350000</v>
      </c>
      <c r="H42" s="152"/>
      <c r="I42" s="27"/>
      <c r="J42" s="304"/>
      <c r="K42" s="288"/>
      <c r="L42" s="27"/>
      <c r="M42" s="27"/>
      <c r="N42" s="27"/>
      <c r="O42" s="27"/>
      <c r="P42" s="27"/>
      <c r="Q42" s="31"/>
      <c r="R42" s="31"/>
      <c r="S42" s="27"/>
      <c r="T42" s="27"/>
      <c r="U42" s="33"/>
      <c r="V42" s="7"/>
    </row>
    <row r="43" spans="1:21" s="45" customFormat="1" ht="12.75">
      <c r="A43" s="87" t="s">
        <v>30</v>
      </c>
      <c r="B43" s="378" t="s">
        <v>73</v>
      </c>
      <c r="C43" s="379"/>
      <c r="D43" s="76"/>
      <c r="E43" s="76">
        <v>247350</v>
      </c>
      <c r="F43" s="24">
        <v>0</v>
      </c>
      <c r="G43" s="24">
        <v>279500</v>
      </c>
      <c r="H43" s="154"/>
      <c r="I43" s="24"/>
      <c r="J43" s="298"/>
      <c r="K43" s="285"/>
      <c r="L43" s="24"/>
      <c r="M43" s="24"/>
      <c r="N43" s="24"/>
      <c r="O43" s="24"/>
      <c r="P43" s="24"/>
      <c r="Q43" s="25"/>
      <c r="R43" s="25"/>
      <c r="S43" s="24"/>
      <c r="T43" s="24"/>
      <c r="U43" s="26"/>
    </row>
    <row r="44" spans="1:21" s="45" customFormat="1" ht="25.5" customHeight="1">
      <c r="A44" s="87" t="s">
        <v>31</v>
      </c>
      <c r="B44" s="364" t="s">
        <v>45</v>
      </c>
      <c r="C44" s="365"/>
      <c r="D44" s="76">
        <f aca="true" t="shared" si="8" ref="D44:U44">D26+D27-D36</f>
        <v>1293706</v>
      </c>
      <c r="E44" s="76">
        <f t="shared" si="8"/>
        <v>1217427</v>
      </c>
      <c r="F44" s="24">
        <f t="shared" si="8"/>
        <v>0</v>
      </c>
      <c r="G44" s="24">
        <f>G26+G27-G36</f>
        <v>2704247</v>
      </c>
      <c r="H44" s="154">
        <f t="shared" si="8"/>
        <v>0</v>
      </c>
      <c r="I44" s="24">
        <f t="shared" si="8"/>
        <v>0</v>
      </c>
      <c r="J44" s="298">
        <f t="shared" si="8"/>
        <v>0</v>
      </c>
      <c r="K44" s="285">
        <f t="shared" si="8"/>
        <v>0</v>
      </c>
      <c r="L44" s="24">
        <f t="shared" si="8"/>
        <v>0</v>
      </c>
      <c r="M44" s="24">
        <f t="shared" si="8"/>
        <v>0</v>
      </c>
      <c r="N44" s="24">
        <v>0</v>
      </c>
      <c r="O44" s="24">
        <f t="shared" si="8"/>
        <v>0</v>
      </c>
      <c r="P44" s="24">
        <f t="shared" si="8"/>
        <v>0</v>
      </c>
      <c r="Q44" s="24">
        <f t="shared" si="8"/>
        <v>0</v>
      </c>
      <c r="R44" s="24">
        <f t="shared" si="8"/>
        <v>0</v>
      </c>
      <c r="S44" s="24">
        <f t="shared" si="8"/>
        <v>0</v>
      </c>
      <c r="T44" s="24">
        <f t="shared" si="8"/>
        <v>0</v>
      </c>
      <c r="U44" s="26">
        <f t="shared" si="8"/>
        <v>0</v>
      </c>
    </row>
    <row r="45" spans="1:21" s="4" customFormat="1" ht="15" customHeight="1">
      <c r="A45" s="87" t="s">
        <v>46</v>
      </c>
      <c r="B45" s="364" t="s">
        <v>16</v>
      </c>
      <c r="C45" s="365"/>
      <c r="D45" s="76">
        <f aca="true" t="shared" si="9" ref="D45:U45">D46+D47+D48+D49+D50+D51</f>
        <v>3470294</v>
      </c>
      <c r="E45" s="76">
        <f t="shared" si="9"/>
        <v>3385629</v>
      </c>
      <c r="F45" s="24">
        <f t="shared" si="9"/>
        <v>6372427</v>
      </c>
      <c r="G45" s="24">
        <f>G46+G47+G48+G49+G50+G51</f>
        <v>1084179</v>
      </c>
      <c r="H45" s="154">
        <f t="shared" si="9"/>
        <v>10554000</v>
      </c>
      <c r="I45" s="24">
        <f t="shared" si="9"/>
        <v>0</v>
      </c>
      <c r="J45" s="298">
        <f t="shared" si="9"/>
        <v>0</v>
      </c>
      <c r="K45" s="285">
        <f t="shared" si="9"/>
        <v>0</v>
      </c>
      <c r="L45" s="24">
        <f t="shared" si="9"/>
        <v>1172000</v>
      </c>
      <c r="M45" s="24">
        <f t="shared" si="9"/>
        <v>300000</v>
      </c>
      <c r="N45" s="24">
        <f t="shared" si="9"/>
        <v>0</v>
      </c>
      <c r="O45" s="24">
        <f t="shared" si="9"/>
        <v>0</v>
      </c>
      <c r="P45" s="24">
        <f t="shared" si="9"/>
        <v>0</v>
      </c>
      <c r="Q45" s="25">
        <f t="shared" si="9"/>
        <v>0</v>
      </c>
      <c r="R45" s="25">
        <f t="shared" si="9"/>
        <v>0</v>
      </c>
      <c r="S45" s="24">
        <f t="shared" si="9"/>
        <v>0</v>
      </c>
      <c r="T45" s="24">
        <f t="shared" si="9"/>
        <v>0</v>
      </c>
      <c r="U45" s="26">
        <f t="shared" si="9"/>
        <v>0</v>
      </c>
    </row>
    <row r="46" spans="1:21" ht="12.75">
      <c r="A46" s="84"/>
      <c r="B46" s="85"/>
      <c r="C46" s="100" t="s">
        <v>8</v>
      </c>
      <c r="D46" s="101">
        <v>0</v>
      </c>
      <c r="E46" s="101">
        <v>0</v>
      </c>
      <c r="F46" s="13"/>
      <c r="G46" s="355"/>
      <c r="H46" s="153"/>
      <c r="I46" s="13"/>
      <c r="J46" s="302"/>
      <c r="K46" s="287"/>
      <c r="L46" s="13"/>
      <c r="M46" s="13"/>
      <c r="N46" s="13"/>
      <c r="O46" s="13"/>
      <c r="P46" s="13"/>
      <c r="Q46" s="30"/>
      <c r="R46" s="30"/>
      <c r="S46" s="13"/>
      <c r="T46" s="13"/>
      <c r="U46" s="15"/>
    </row>
    <row r="47" spans="1:21" ht="12.75">
      <c r="A47" s="84"/>
      <c r="B47" s="85"/>
      <c r="C47" s="100" t="s">
        <v>9</v>
      </c>
      <c r="D47" s="117"/>
      <c r="E47" s="117">
        <v>2091923</v>
      </c>
      <c r="F47" s="13">
        <v>5155000</v>
      </c>
      <c r="G47" s="355"/>
      <c r="H47" s="153">
        <v>7849753</v>
      </c>
      <c r="I47" s="13"/>
      <c r="J47" s="302"/>
      <c r="K47" s="287"/>
      <c r="L47" s="13">
        <v>1172000</v>
      </c>
      <c r="M47" s="13">
        <v>300000</v>
      </c>
      <c r="N47" s="13"/>
      <c r="O47" s="13"/>
      <c r="P47" s="13"/>
      <c r="Q47" s="30"/>
      <c r="R47" s="30"/>
      <c r="S47" s="13"/>
      <c r="T47" s="13"/>
      <c r="U47" s="15"/>
    </row>
    <row r="48" spans="1:21" ht="12.75">
      <c r="A48" s="84"/>
      <c r="B48" s="85"/>
      <c r="C48" s="100" t="s">
        <v>10</v>
      </c>
      <c r="D48" s="101">
        <v>0</v>
      </c>
      <c r="E48" s="101">
        <v>0</v>
      </c>
      <c r="F48" s="13"/>
      <c r="G48" s="355"/>
      <c r="H48" s="153"/>
      <c r="I48" s="13"/>
      <c r="J48" s="302"/>
      <c r="K48" s="287"/>
      <c r="L48" s="13"/>
      <c r="M48" s="13"/>
      <c r="N48" s="13"/>
      <c r="O48" s="13"/>
      <c r="P48" s="13"/>
      <c r="Q48" s="30"/>
      <c r="R48" s="30"/>
      <c r="S48" s="13"/>
      <c r="T48" s="13"/>
      <c r="U48" s="15"/>
    </row>
    <row r="49" spans="1:21" ht="12.75">
      <c r="A49" s="84"/>
      <c r="B49" s="85"/>
      <c r="C49" s="100" t="s">
        <v>11</v>
      </c>
      <c r="D49" s="101">
        <v>0</v>
      </c>
      <c r="E49" s="101">
        <v>0</v>
      </c>
      <c r="F49" s="13"/>
      <c r="G49" s="355"/>
      <c r="H49" s="153"/>
      <c r="I49" s="13"/>
      <c r="J49" s="302"/>
      <c r="K49" s="287"/>
      <c r="L49" s="13"/>
      <c r="M49" s="13"/>
      <c r="N49" s="13"/>
      <c r="O49" s="13"/>
      <c r="P49" s="13"/>
      <c r="Q49" s="30"/>
      <c r="R49" s="30"/>
      <c r="S49" s="13"/>
      <c r="T49" s="13"/>
      <c r="U49" s="15"/>
    </row>
    <row r="50" spans="1:21" ht="12.75">
      <c r="A50" s="84"/>
      <c r="B50" s="85"/>
      <c r="C50" s="100" t="s">
        <v>12</v>
      </c>
      <c r="D50" s="101">
        <v>1047668</v>
      </c>
      <c r="E50" s="101">
        <v>0</v>
      </c>
      <c r="F50" s="13"/>
      <c r="G50" s="355"/>
      <c r="H50" s="153"/>
      <c r="I50" s="13"/>
      <c r="J50" s="302"/>
      <c r="K50" s="287"/>
      <c r="L50" s="13"/>
      <c r="M50" s="13"/>
      <c r="N50" s="13"/>
      <c r="O50" s="13"/>
      <c r="P50" s="13"/>
      <c r="Q50" s="30"/>
      <c r="R50" s="30"/>
      <c r="S50" s="13"/>
      <c r="T50" s="13"/>
      <c r="U50" s="15"/>
    </row>
    <row r="51" spans="1:21" ht="12.75">
      <c r="A51" s="84"/>
      <c r="B51" s="85"/>
      <c r="C51" s="100" t="s">
        <v>13</v>
      </c>
      <c r="D51" s="32">
        <v>2422626</v>
      </c>
      <c r="E51" s="32">
        <v>1293706</v>
      </c>
      <c r="F51" s="13">
        <v>1217427</v>
      </c>
      <c r="G51" s="355">
        <v>1084179</v>
      </c>
      <c r="H51" s="153">
        <v>2704247</v>
      </c>
      <c r="I51" s="13"/>
      <c r="J51" s="302"/>
      <c r="K51" s="287"/>
      <c r="L51" s="13"/>
      <c r="M51" s="13"/>
      <c r="N51" s="13"/>
      <c r="O51" s="13"/>
      <c r="P51" s="13"/>
      <c r="Q51" s="30"/>
      <c r="R51" s="30"/>
      <c r="S51" s="13"/>
      <c r="T51" s="13"/>
      <c r="U51" s="15"/>
    </row>
    <row r="52" spans="1:21" s="4" customFormat="1" ht="16.5" customHeight="1">
      <c r="A52" s="87" t="s">
        <v>47</v>
      </c>
      <c r="B52" s="364" t="s">
        <v>17</v>
      </c>
      <c r="C52" s="365"/>
      <c r="D52" s="76">
        <f aca="true" t="shared" si="10" ref="D52:U52">D53+D54</f>
        <v>0</v>
      </c>
      <c r="E52" s="76">
        <f t="shared" si="10"/>
        <v>0</v>
      </c>
      <c r="F52" s="24">
        <f t="shared" si="10"/>
        <v>0</v>
      </c>
      <c r="G52" s="24">
        <f>G53+G54</f>
        <v>0</v>
      </c>
      <c r="H52" s="154">
        <f t="shared" si="10"/>
        <v>0</v>
      </c>
      <c r="I52" s="24">
        <f t="shared" si="10"/>
        <v>1986794</v>
      </c>
      <c r="J52" s="298">
        <f t="shared" si="10"/>
        <v>1272456</v>
      </c>
      <c r="K52" s="285">
        <f t="shared" si="10"/>
        <v>569794</v>
      </c>
      <c r="L52" s="24">
        <f t="shared" si="10"/>
        <v>0</v>
      </c>
      <c r="M52" s="24">
        <f t="shared" si="10"/>
        <v>0</v>
      </c>
      <c r="N52" s="24">
        <f t="shared" si="10"/>
        <v>4070888</v>
      </c>
      <c r="O52" s="24">
        <f t="shared" si="10"/>
        <v>4321242</v>
      </c>
      <c r="P52" s="24">
        <f t="shared" si="10"/>
        <v>1378758</v>
      </c>
      <c r="Q52" s="25">
        <f t="shared" si="10"/>
        <v>3672000</v>
      </c>
      <c r="R52" s="25">
        <f t="shared" si="10"/>
        <v>1119253</v>
      </c>
      <c r="S52" s="24">
        <f t="shared" si="10"/>
        <v>0</v>
      </c>
      <c r="T52" s="24">
        <f t="shared" si="10"/>
        <v>0</v>
      </c>
      <c r="U52" s="26">
        <f t="shared" si="10"/>
        <v>0</v>
      </c>
    </row>
    <row r="53" spans="1:21" ht="12.75">
      <c r="A53" s="84"/>
      <c r="B53" s="85"/>
      <c r="C53" s="100" t="s">
        <v>42</v>
      </c>
      <c r="D53" s="101"/>
      <c r="E53" s="101"/>
      <c r="F53" s="13"/>
      <c r="G53" s="355"/>
      <c r="H53" s="153"/>
      <c r="I53" s="13">
        <v>1986794</v>
      </c>
      <c r="J53" s="302">
        <v>1272456</v>
      </c>
      <c r="K53" s="287">
        <v>569794</v>
      </c>
      <c r="L53" s="13"/>
      <c r="M53" s="13"/>
      <c r="N53" s="13">
        <v>4070888</v>
      </c>
      <c r="O53" s="13">
        <v>4321242</v>
      </c>
      <c r="P53" s="13">
        <v>1378758</v>
      </c>
      <c r="Q53" s="30">
        <v>3672000</v>
      </c>
      <c r="R53" s="30">
        <v>1119253</v>
      </c>
      <c r="S53" s="13"/>
      <c r="T53" s="13"/>
      <c r="U53" s="15"/>
    </row>
    <row r="54" spans="1:21" ht="14.25" customHeight="1">
      <c r="A54" s="84"/>
      <c r="B54" s="85"/>
      <c r="C54" s="100" t="s">
        <v>18</v>
      </c>
      <c r="D54" s="101"/>
      <c r="E54" s="101"/>
      <c r="F54" s="13"/>
      <c r="G54" s="355"/>
      <c r="H54" s="153"/>
      <c r="I54" s="13"/>
      <c r="J54" s="302"/>
      <c r="K54" s="287"/>
      <c r="L54" s="13"/>
      <c r="M54" s="13"/>
      <c r="N54" s="13"/>
      <c r="O54" s="13"/>
      <c r="P54" s="13"/>
      <c r="Q54" s="30"/>
      <c r="R54" s="30"/>
      <c r="S54" s="13"/>
      <c r="T54" s="13"/>
      <c r="U54" s="15"/>
    </row>
    <row r="55" spans="1:21" ht="14.25">
      <c r="A55" s="84"/>
      <c r="B55" s="85"/>
      <c r="C55" s="102"/>
      <c r="D55" s="115"/>
      <c r="E55" s="96"/>
      <c r="F55" s="13"/>
      <c r="G55" s="355"/>
      <c r="H55" s="153"/>
      <c r="I55" s="13"/>
      <c r="J55" s="302"/>
      <c r="K55" s="287"/>
      <c r="L55" s="13"/>
      <c r="M55" s="13"/>
      <c r="N55" s="13"/>
      <c r="O55" s="13"/>
      <c r="P55" s="13"/>
      <c r="Q55" s="30"/>
      <c r="R55" s="30"/>
      <c r="S55" s="13"/>
      <c r="T55" s="13"/>
      <c r="U55" s="15"/>
    </row>
    <row r="56" spans="1:21" ht="14.25">
      <c r="A56" s="84"/>
      <c r="B56" s="85"/>
      <c r="C56" s="102"/>
      <c r="D56" s="115"/>
      <c r="E56" s="96"/>
      <c r="F56" s="13"/>
      <c r="G56" s="355"/>
      <c r="H56" s="153"/>
      <c r="I56" s="13"/>
      <c r="J56" s="302"/>
      <c r="K56" s="287"/>
      <c r="L56" s="13"/>
      <c r="M56" s="13"/>
      <c r="N56" s="13"/>
      <c r="O56" s="13"/>
      <c r="P56" s="13"/>
      <c r="Q56" s="30"/>
      <c r="R56" s="30"/>
      <c r="S56" s="13"/>
      <c r="T56" s="13"/>
      <c r="U56" s="15"/>
    </row>
    <row r="57" spans="1:21" s="45" customFormat="1" ht="19.5" customHeight="1">
      <c r="A57" s="87" t="s">
        <v>32</v>
      </c>
      <c r="B57" s="103"/>
      <c r="C57" s="88" t="s">
        <v>106</v>
      </c>
      <c r="D57" s="118">
        <v>3716332</v>
      </c>
      <c r="E57" s="119">
        <v>6777932</v>
      </c>
      <c r="F57" s="24">
        <f>E57+F28-F37-F43</f>
        <v>12282932</v>
      </c>
      <c r="G57" s="24">
        <v>9419432</v>
      </c>
      <c r="H57" s="154">
        <v>17269185</v>
      </c>
      <c r="I57" s="24">
        <f aca="true" t="shared" si="11" ref="I57:U57">H57+I28-I37-I43</f>
        <v>15282391</v>
      </c>
      <c r="J57" s="298">
        <f>I57+J28-J37-J43</f>
        <v>13659935</v>
      </c>
      <c r="K57" s="285">
        <f t="shared" si="11"/>
        <v>13090141</v>
      </c>
      <c r="L57" s="24">
        <f t="shared" si="11"/>
        <v>14262141</v>
      </c>
      <c r="M57" s="24">
        <f t="shared" si="11"/>
        <v>14562141</v>
      </c>
      <c r="N57" s="24">
        <f t="shared" si="11"/>
        <v>10491253</v>
      </c>
      <c r="O57" s="24">
        <f t="shared" si="11"/>
        <v>6170011</v>
      </c>
      <c r="P57" s="24">
        <f t="shared" si="11"/>
        <v>4791253</v>
      </c>
      <c r="Q57" s="24">
        <f t="shared" si="11"/>
        <v>1119253</v>
      </c>
      <c r="R57" s="24">
        <f t="shared" si="11"/>
        <v>0</v>
      </c>
      <c r="S57" s="24">
        <f t="shared" si="11"/>
        <v>0</v>
      </c>
      <c r="T57" s="24">
        <f t="shared" si="11"/>
        <v>0</v>
      </c>
      <c r="U57" s="26">
        <f t="shared" si="11"/>
        <v>0</v>
      </c>
    </row>
    <row r="58" spans="1:21" ht="63.75" customHeight="1">
      <c r="A58" s="84"/>
      <c r="B58" s="85"/>
      <c r="C58" s="86" t="s">
        <v>105</v>
      </c>
      <c r="D58" s="77">
        <v>0</v>
      </c>
      <c r="E58" s="77"/>
      <c r="F58" s="77">
        <f>E58+F32-F41</f>
        <v>0</v>
      </c>
      <c r="G58" s="360">
        <f>E58+G32-G41</f>
        <v>0</v>
      </c>
      <c r="H58" s="157">
        <f>F58+H32-H41</f>
        <v>0</v>
      </c>
      <c r="I58" s="77">
        <f aca="true" t="shared" si="12" ref="I58:U58">H58+I32-I41</f>
        <v>0</v>
      </c>
      <c r="J58" s="305">
        <f t="shared" si="12"/>
        <v>0</v>
      </c>
      <c r="K58" s="289">
        <f t="shared" si="12"/>
        <v>0</v>
      </c>
      <c r="L58" s="77">
        <f t="shared" si="12"/>
        <v>0</v>
      </c>
      <c r="M58" s="77">
        <f t="shared" si="12"/>
        <v>0</v>
      </c>
      <c r="N58" s="77">
        <f t="shared" si="12"/>
        <v>0</v>
      </c>
      <c r="O58" s="77">
        <f t="shared" si="12"/>
        <v>0</v>
      </c>
      <c r="P58" s="77">
        <f t="shared" si="12"/>
        <v>0</v>
      </c>
      <c r="Q58" s="77">
        <f t="shared" si="12"/>
        <v>0</v>
      </c>
      <c r="R58" s="77">
        <f t="shared" si="12"/>
        <v>0</v>
      </c>
      <c r="S58" s="77">
        <f t="shared" si="12"/>
        <v>0</v>
      </c>
      <c r="T58" s="77">
        <f t="shared" si="12"/>
        <v>0</v>
      </c>
      <c r="U58" s="122">
        <f t="shared" si="12"/>
        <v>0</v>
      </c>
    </row>
    <row r="59" spans="1:21" ht="24.75" customHeight="1">
      <c r="A59" s="361" t="s">
        <v>37</v>
      </c>
      <c r="B59" s="366" t="s">
        <v>95</v>
      </c>
      <c r="C59" s="104" t="s">
        <v>72</v>
      </c>
      <c r="D59" s="105">
        <v>879400</v>
      </c>
      <c r="E59" s="105">
        <f aca="true" t="shared" si="13" ref="E59:U59">SUM(E37)</f>
        <v>1531050</v>
      </c>
      <c r="F59" s="105">
        <f t="shared" si="13"/>
        <v>1816900</v>
      </c>
      <c r="G59" s="105">
        <f>SUM(G37)</f>
        <v>1664900</v>
      </c>
      <c r="H59" s="158">
        <f t="shared" si="13"/>
        <v>1731400</v>
      </c>
      <c r="I59" s="105">
        <f t="shared" si="13"/>
        <v>1986794</v>
      </c>
      <c r="J59" s="306">
        <f t="shared" si="13"/>
        <v>2265000</v>
      </c>
      <c r="K59" s="105">
        <f t="shared" si="13"/>
        <v>1841544</v>
      </c>
      <c r="L59" s="105">
        <f t="shared" si="13"/>
        <v>1500000</v>
      </c>
      <c r="M59" s="105">
        <f t="shared" si="13"/>
        <v>3500000</v>
      </c>
      <c r="N59" s="105">
        <f t="shared" si="13"/>
        <v>4070888</v>
      </c>
      <c r="O59" s="105">
        <f t="shared" si="13"/>
        <v>4321242</v>
      </c>
      <c r="P59" s="105">
        <f t="shared" si="13"/>
        <v>1378758</v>
      </c>
      <c r="Q59" s="105">
        <f t="shared" si="13"/>
        <v>3672000</v>
      </c>
      <c r="R59" s="105"/>
      <c r="S59" s="105">
        <f t="shared" si="13"/>
        <v>0</v>
      </c>
      <c r="T59" s="105">
        <f t="shared" si="13"/>
        <v>0</v>
      </c>
      <c r="U59" s="123">
        <f t="shared" si="13"/>
        <v>0</v>
      </c>
    </row>
    <row r="60" spans="1:21" ht="63.75" customHeight="1">
      <c r="A60" s="362"/>
      <c r="B60" s="367"/>
      <c r="C60" s="104" t="s">
        <v>55</v>
      </c>
      <c r="D60" s="105">
        <v>879400</v>
      </c>
      <c r="E60" s="105">
        <f>1457598</f>
        <v>1457598</v>
      </c>
      <c r="F60" s="40"/>
      <c r="G60" s="40"/>
      <c r="H60" s="154"/>
      <c r="I60" s="40"/>
      <c r="J60" s="307"/>
      <c r="K60" s="290"/>
      <c r="L60" s="40"/>
      <c r="M60" s="40"/>
      <c r="N60" s="40">
        <v>4070888</v>
      </c>
      <c r="O60" s="40">
        <v>4321242</v>
      </c>
      <c r="P60" s="40">
        <v>1378758</v>
      </c>
      <c r="Q60" s="41">
        <v>3672000</v>
      </c>
      <c r="R60" s="41"/>
      <c r="S60" s="40"/>
      <c r="T60" s="40"/>
      <c r="U60" s="46"/>
    </row>
    <row r="61" spans="1:21" ht="25.5" customHeight="1">
      <c r="A61" s="363"/>
      <c r="B61" s="368"/>
      <c r="C61" s="104" t="s">
        <v>74</v>
      </c>
      <c r="D61" s="105">
        <v>0</v>
      </c>
      <c r="E61" s="105">
        <f>SUM(E59-E60)</f>
        <v>73452</v>
      </c>
      <c r="F61" s="40">
        <f aca="true" t="shared" si="14" ref="F61:U61">SUM(F59-F60)</f>
        <v>1816900</v>
      </c>
      <c r="G61" s="40">
        <f t="shared" si="14"/>
        <v>1664900</v>
      </c>
      <c r="H61" s="154">
        <f t="shared" si="14"/>
        <v>1731400</v>
      </c>
      <c r="I61" s="40">
        <f t="shared" si="14"/>
        <v>1986794</v>
      </c>
      <c r="J61" s="307">
        <f t="shared" si="14"/>
        <v>2265000</v>
      </c>
      <c r="K61" s="290">
        <f t="shared" si="14"/>
        <v>1841544</v>
      </c>
      <c r="L61" s="40">
        <f t="shared" si="14"/>
        <v>1500000</v>
      </c>
      <c r="M61" s="40">
        <f t="shared" si="14"/>
        <v>3500000</v>
      </c>
      <c r="N61" s="40"/>
      <c r="O61" s="40"/>
      <c r="P61" s="40"/>
      <c r="Q61" s="41"/>
      <c r="R61" s="41">
        <f t="shared" si="14"/>
        <v>0</v>
      </c>
      <c r="S61" s="322">
        <f t="shared" si="14"/>
        <v>0</v>
      </c>
      <c r="T61" s="322">
        <f t="shared" si="14"/>
        <v>0</v>
      </c>
      <c r="U61" s="323">
        <f t="shared" si="14"/>
        <v>0</v>
      </c>
    </row>
    <row r="62" spans="1:21" ht="12.75">
      <c r="A62" s="106"/>
      <c r="B62" s="85"/>
      <c r="C62" s="102"/>
      <c r="D62" s="97"/>
      <c r="E62" s="97"/>
      <c r="F62" s="13"/>
      <c r="G62" s="355"/>
      <c r="H62" s="153"/>
      <c r="I62" s="13"/>
      <c r="J62" s="302"/>
      <c r="K62" s="287"/>
      <c r="L62" s="13"/>
      <c r="M62" s="13"/>
      <c r="N62" s="13"/>
      <c r="O62" s="13"/>
      <c r="P62" s="13"/>
      <c r="Q62" s="30"/>
      <c r="R62" s="30"/>
      <c r="S62" s="13"/>
      <c r="T62" s="13"/>
      <c r="U62" s="15"/>
    </row>
    <row r="63" spans="1:21" s="4" customFormat="1" ht="40.5" customHeight="1">
      <c r="A63" s="107" t="s">
        <v>40</v>
      </c>
      <c r="B63" s="369" t="s">
        <v>107</v>
      </c>
      <c r="C63" s="370"/>
      <c r="D63" s="116">
        <f aca="true" t="shared" si="15" ref="D63:J63">(D37-D41+D15+D16+D21)/D9*100%</f>
        <v>0.03958888026509681</v>
      </c>
      <c r="E63" s="116">
        <f t="shared" si="15"/>
        <v>0.06834393575272572</v>
      </c>
      <c r="F63" s="116">
        <f t="shared" si="15"/>
        <v>0.08036803060000637</v>
      </c>
      <c r="G63" s="357">
        <f>(G37-G41+G15+G16+G21)/G9*100%</f>
        <v>0.0667761887003718</v>
      </c>
      <c r="H63" s="159">
        <f t="shared" si="15"/>
        <v>0.08357030624293564</v>
      </c>
      <c r="I63" s="116">
        <f t="shared" si="15"/>
        <v>0.10212506670852299</v>
      </c>
      <c r="J63" s="308">
        <f t="shared" si="15"/>
        <v>0.08908227848101266</v>
      </c>
      <c r="K63" s="291" t="s">
        <v>35</v>
      </c>
      <c r="L63" s="16" t="s">
        <v>35</v>
      </c>
      <c r="M63" s="16" t="s">
        <v>35</v>
      </c>
      <c r="N63" s="16" t="s">
        <v>35</v>
      </c>
      <c r="O63" s="16" t="s">
        <v>35</v>
      </c>
      <c r="P63" s="16" t="s">
        <v>35</v>
      </c>
      <c r="Q63" s="108" t="s">
        <v>35</v>
      </c>
      <c r="R63" s="108" t="s">
        <v>35</v>
      </c>
      <c r="S63" s="16" t="s">
        <v>35</v>
      </c>
      <c r="T63" s="16" t="s">
        <v>35</v>
      </c>
      <c r="U63" s="109" t="s">
        <v>35</v>
      </c>
    </row>
    <row r="64" spans="1:21" s="4" customFormat="1" ht="44.25" customHeight="1">
      <c r="A64" s="110" t="s">
        <v>43</v>
      </c>
      <c r="B64" s="369" t="s">
        <v>108</v>
      </c>
      <c r="C64" s="370"/>
      <c r="D64" s="116">
        <f aca="true" t="shared" si="16" ref="D64:J64">(D57-D58)/D9*100%</f>
        <v>0.14444382299936456</v>
      </c>
      <c r="E64" s="116">
        <f t="shared" si="16"/>
        <v>0.2675811205689673</v>
      </c>
      <c r="F64" s="36">
        <f t="shared" si="16"/>
        <v>0.3972454949029366</v>
      </c>
      <c r="G64" s="358">
        <f>(G57-G58)/G9*100%</f>
        <v>0.3162326855521561</v>
      </c>
      <c r="H64" s="160">
        <f t="shared" si="16"/>
        <v>0.5097093589799783</v>
      </c>
      <c r="I64" s="36">
        <f t="shared" si="16"/>
        <v>0.4797485795008633</v>
      </c>
      <c r="J64" s="309">
        <f t="shared" si="16"/>
        <v>0.43227642405063293</v>
      </c>
      <c r="K64" s="291" t="s">
        <v>35</v>
      </c>
      <c r="L64" s="16" t="s">
        <v>35</v>
      </c>
      <c r="M64" s="16" t="s">
        <v>35</v>
      </c>
      <c r="N64" s="16" t="s">
        <v>35</v>
      </c>
      <c r="O64" s="16" t="s">
        <v>35</v>
      </c>
      <c r="P64" s="16" t="s">
        <v>35</v>
      </c>
      <c r="Q64" s="108" t="s">
        <v>35</v>
      </c>
      <c r="R64" s="108" t="s">
        <v>35</v>
      </c>
      <c r="S64" s="16" t="s">
        <v>35</v>
      </c>
      <c r="T64" s="16" t="s">
        <v>35</v>
      </c>
      <c r="U64" s="109" t="s">
        <v>35</v>
      </c>
    </row>
    <row r="65" spans="1:21" s="45" customFormat="1" ht="75" customHeight="1">
      <c r="A65" s="111" t="s">
        <v>44</v>
      </c>
      <c r="B65" s="364" t="s">
        <v>96</v>
      </c>
      <c r="C65" s="365"/>
      <c r="D65" s="112" t="s">
        <v>35</v>
      </c>
      <c r="E65" s="112" t="s">
        <v>35</v>
      </c>
      <c r="F65" s="113" t="s">
        <v>35</v>
      </c>
      <c r="G65" s="244">
        <f>(G37-G41+G15+G16+G21)/G9</f>
        <v>0.0667761887003718</v>
      </c>
      <c r="H65" s="243">
        <f aca="true" t="shared" si="17" ref="H65:U65">(H37-H41+H15+H16+H21)/H9</f>
        <v>0.08357030624293564</v>
      </c>
      <c r="I65" s="244">
        <f t="shared" si="17"/>
        <v>0.10212506670852299</v>
      </c>
      <c r="J65" s="310">
        <f t="shared" si="17"/>
        <v>0.08908227848101266</v>
      </c>
      <c r="K65" s="292">
        <f t="shared" si="17"/>
        <v>0.07519066246056783</v>
      </c>
      <c r="L65" s="244">
        <f t="shared" si="17"/>
        <v>0.06372549019607843</v>
      </c>
      <c r="M65" s="244">
        <f t="shared" si="17"/>
        <v>0.13030794165316045</v>
      </c>
      <c r="N65" s="244">
        <f t="shared" si="17"/>
        <v>0.14283967689822294</v>
      </c>
      <c r="O65" s="244">
        <f t="shared" si="17"/>
        <v>0.14769764135702745</v>
      </c>
      <c r="P65" s="244">
        <f t="shared" si="17"/>
        <v>0.048909300316729055</v>
      </c>
      <c r="Q65" s="244">
        <f t="shared" si="17"/>
        <v>0.12700911893984124</v>
      </c>
      <c r="R65" s="244">
        <f t="shared" si="17"/>
        <v>0.042052743166547064</v>
      </c>
      <c r="S65" s="244" t="e">
        <f t="shared" si="17"/>
        <v>#DIV/0!</v>
      </c>
      <c r="T65" s="244" t="e">
        <f t="shared" si="17"/>
        <v>#DIV/0!</v>
      </c>
      <c r="U65" s="245" t="e">
        <f t="shared" si="17"/>
        <v>#DIV/0!</v>
      </c>
    </row>
    <row r="66" spans="1:21" s="45" customFormat="1" ht="51.75" customHeight="1">
      <c r="A66" s="114" t="s">
        <v>48</v>
      </c>
      <c r="B66" s="372" t="s">
        <v>110</v>
      </c>
      <c r="C66" s="372"/>
      <c r="D66" s="129">
        <f aca="true" t="shared" si="18" ref="D66:U66">(D10+D12-D14)/D9</f>
        <v>0.08945342186425258</v>
      </c>
      <c r="E66" s="129">
        <f t="shared" si="18"/>
        <v>0.0372274291007534</v>
      </c>
      <c r="F66" s="129">
        <f t="shared" si="18"/>
        <v>0.09318787959543025</v>
      </c>
      <c r="G66" s="129">
        <f>(G10+G12-G14)/G9</f>
        <v>0.12748551385672843</v>
      </c>
      <c r="H66" s="161">
        <f t="shared" si="18"/>
        <v>0.032045968686075794</v>
      </c>
      <c r="I66" s="129">
        <f t="shared" si="18"/>
        <v>0.09197928111756397</v>
      </c>
      <c r="J66" s="311">
        <f t="shared" si="18"/>
        <v>0.11772151898734177</v>
      </c>
      <c r="K66" s="129">
        <f t="shared" si="18"/>
        <v>0.1317981072555205</v>
      </c>
      <c r="L66" s="129">
        <f t="shared" si="18"/>
        <v>0.15159313725490195</v>
      </c>
      <c r="M66" s="129">
        <f t="shared" si="18"/>
        <v>0.14582009724473258</v>
      </c>
      <c r="N66" s="129">
        <f t="shared" si="18"/>
        <v>0.14606255250403877</v>
      </c>
      <c r="O66" s="129">
        <f t="shared" si="18"/>
        <v>0.14446662358642973</v>
      </c>
      <c r="P66" s="129">
        <f t="shared" si="18"/>
        <v>0.1511134785807979</v>
      </c>
      <c r="Q66" s="129">
        <f t="shared" si="18"/>
        <v>0.12700911893984124</v>
      </c>
      <c r="R66" s="129">
        <f t="shared" si="18"/>
        <v>0.1374112140387501</v>
      </c>
      <c r="S66" s="129" t="e">
        <f t="shared" si="18"/>
        <v>#DIV/0!</v>
      </c>
      <c r="T66" s="129" t="e">
        <f t="shared" si="18"/>
        <v>#DIV/0!</v>
      </c>
      <c r="U66" s="149" t="e">
        <f t="shared" si="18"/>
        <v>#DIV/0!</v>
      </c>
    </row>
    <row r="67" spans="1:21" s="4" customFormat="1" ht="52.5" customHeight="1">
      <c r="A67" s="132" t="s">
        <v>56</v>
      </c>
      <c r="B67" s="373" t="s">
        <v>109</v>
      </c>
      <c r="C67" s="374"/>
      <c r="D67" s="113" t="s">
        <v>35</v>
      </c>
      <c r="E67" s="113" t="s">
        <v>35</v>
      </c>
      <c r="F67" s="113" t="s">
        <v>35</v>
      </c>
      <c r="G67" s="246">
        <f>(C66+D66+E66)/3</f>
        <v>0.042226950321668656</v>
      </c>
      <c r="H67" s="242">
        <f>(D66+E66+F66)/3</f>
        <v>0.07328957685347874</v>
      </c>
      <c r="I67" s="246">
        <f>(E66+F66+H66)/3</f>
        <v>0.054153759127419814</v>
      </c>
      <c r="J67" s="312">
        <f>(F66+H66+I66)/3</f>
        <v>0.07240437646635667</v>
      </c>
      <c r="K67" s="293">
        <f aca="true" t="shared" si="19" ref="K67:U67">(H66+I66+J66)/3</f>
        <v>0.08058225626366051</v>
      </c>
      <c r="L67" s="246">
        <f t="shared" si="19"/>
        <v>0.11383296912014207</v>
      </c>
      <c r="M67" s="246">
        <f t="shared" si="19"/>
        <v>0.13370425449925474</v>
      </c>
      <c r="N67" s="246">
        <f t="shared" si="19"/>
        <v>0.14307044725171833</v>
      </c>
      <c r="O67" s="246">
        <f t="shared" si="19"/>
        <v>0.14782526233455776</v>
      </c>
      <c r="P67" s="246">
        <f t="shared" si="19"/>
        <v>0.14544975777840033</v>
      </c>
      <c r="Q67" s="246">
        <f t="shared" si="19"/>
        <v>0.14721421822375547</v>
      </c>
      <c r="R67" s="246">
        <f t="shared" si="19"/>
        <v>0.1408630737023563</v>
      </c>
      <c r="S67" s="246">
        <f t="shared" si="19"/>
        <v>0.13851127051979642</v>
      </c>
      <c r="T67" s="246" t="e">
        <f t="shared" si="19"/>
        <v>#DIV/0!</v>
      </c>
      <c r="U67" s="247" t="e">
        <f t="shared" si="19"/>
        <v>#DIV/0!</v>
      </c>
    </row>
    <row r="68" spans="1:21" s="45" customFormat="1" ht="54" customHeight="1">
      <c r="A68" s="133" t="s">
        <v>97</v>
      </c>
      <c r="B68" s="380" t="s">
        <v>99</v>
      </c>
      <c r="C68" s="380"/>
      <c r="D68" s="134" t="s">
        <v>35</v>
      </c>
      <c r="E68" s="134" t="s">
        <v>35</v>
      </c>
      <c r="F68" s="134" t="s">
        <v>35</v>
      </c>
      <c r="G68" s="249">
        <f>G67-G65</f>
        <v>-0.024549238378703146</v>
      </c>
      <c r="H68" s="248">
        <f>H67-H65</f>
        <v>-0.0102807293894569</v>
      </c>
      <c r="I68" s="249">
        <f>I67-I65</f>
        <v>-0.04797130758110318</v>
      </c>
      <c r="J68" s="313">
        <f>J67-J65</f>
        <v>-0.016677902014655993</v>
      </c>
      <c r="K68" s="330">
        <f aca="true" t="shared" si="20" ref="K68:U68">K67-K65</f>
        <v>0.00539159380309269</v>
      </c>
      <c r="L68" s="249">
        <f t="shared" si="20"/>
        <v>0.05010747892406364</v>
      </c>
      <c r="M68" s="249">
        <f t="shared" si="20"/>
        <v>0.0033963128460942904</v>
      </c>
      <c r="N68" s="249">
        <f t="shared" si="20"/>
        <v>0.00023077035349539088</v>
      </c>
      <c r="O68" s="249">
        <f t="shared" si="20"/>
        <v>0.00012762097753030166</v>
      </c>
      <c r="P68" s="249">
        <f t="shared" si="20"/>
        <v>0.09654045746167128</v>
      </c>
      <c r="Q68" s="250">
        <f t="shared" si="20"/>
        <v>0.02020509928391423</v>
      </c>
      <c r="R68" s="250">
        <f t="shared" si="20"/>
        <v>0.09881033053580923</v>
      </c>
      <c r="S68" s="249" t="e">
        <f t="shared" si="20"/>
        <v>#DIV/0!</v>
      </c>
      <c r="T68" s="249" t="e">
        <f t="shared" si="20"/>
        <v>#DIV/0!</v>
      </c>
      <c r="U68" s="251" t="e">
        <f t="shared" si="20"/>
        <v>#DIV/0!</v>
      </c>
    </row>
    <row r="69" spans="1:21" ht="39.75" customHeight="1" thickBot="1">
      <c r="A69" s="130" t="s">
        <v>98</v>
      </c>
      <c r="B69" s="371" t="s">
        <v>111</v>
      </c>
      <c r="C69" s="371"/>
      <c r="D69" s="131" t="s">
        <v>35</v>
      </c>
      <c r="E69" s="131" t="s">
        <v>35</v>
      </c>
      <c r="F69" s="37" t="s">
        <v>35</v>
      </c>
      <c r="G69" s="326">
        <f>G10+G34+G35-G14</f>
        <v>4870017</v>
      </c>
      <c r="H69" s="325">
        <f>H10+H34+H35-H14</f>
        <v>2989979</v>
      </c>
      <c r="I69" s="326">
        <f aca="true" t="shared" si="21" ref="I69:U69">I10+I34+I35-I14</f>
        <v>2180000</v>
      </c>
      <c r="J69" s="327">
        <f t="shared" si="21"/>
        <v>3070000</v>
      </c>
      <c r="K69" s="328">
        <f t="shared" si="21"/>
        <v>3528000</v>
      </c>
      <c r="L69" s="326">
        <f t="shared" si="21"/>
        <v>4298000</v>
      </c>
      <c r="M69" s="326">
        <f t="shared" si="21"/>
        <v>4198550</v>
      </c>
      <c r="N69" s="326">
        <f t="shared" si="21"/>
        <v>4120636</v>
      </c>
      <c r="O69" s="326">
        <f t="shared" si="21"/>
        <v>4371242</v>
      </c>
      <c r="P69" s="326">
        <f t="shared" si="21"/>
        <v>4623354</v>
      </c>
      <c r="Q69" s="326">
        <f t="shared" si="21"/>
        <v>3772000</v>
      </c>
      <c r="R69" s="326">
        <f t="shared" si="21"/>
        <v>4132753</v>
      </c>
      <c r="S69" s="326">
        <f t="shared" si="21"/>
        <v>0</v>
      </c>
      <c r="T69" s="326">
        <f t="shared" si="21"/>
        <v>0</v>
      </c>
      <c r="U69" s="329">
        <f t="shared" si="21"/>
        <v>0</v>
      </c>
    </row>
    <row r="71" ht="12.75">
      <c r="H71" s="12"/>
    </row>
    <row r="75" spans="6:7" ht="12.75">
      <c r="F75" s="150"/>
      <c r="G75" s="150"/>
    </row>
  </sheetData>
  <sheetProtection/>
  <mergeCells count="22">
    <mergeCell ref="B36:C36"/>
    <mergeCell ref="B29:B32"/>
    <mergeCell ref="B8:C8"/>
    <mergeCell ref="B9:C9"/>
    <mergeCell ref="B13:C13"/>
    <mergeCell ref="B27:C27"/>
    <mergeCell ref="B15:B22"/>
    <mergeCell ref="B24:B25"/>
    <mergeCell ref="B69:C69"/>
    <mergeCell ref="B66:C66"/>
    <mergeCell ref="B67:C67"/>
    <mergeCell ref="B38:B41"/>
    <mergeCell ref="B43:C43"/>
    <mergeCell ref="B65:C65"/>
    <mergeCell ref="B68:C68"/>
    <mergeCell ref="B45:C45"/>
    <mergeCell ref="B52:C52"/>
    <mergeCell ref="A59:A61"/>
    <mergeCell ref="B44:C44"/>
    <mergeCell ref="B59:B61"/>
    <mergeCell ref="B64:C64"/>
    <mergeCell ref="B63:C63"/>
  </mergeCells>
  <printOptions horizontalCentered="1"/>
  <pageMargins left="0.2362204724409449" right="0.15748031496062992" top="0.5905511811023623" bottom="0.4330708661417323" header="0.35433070866141736" footer="0.5511811023622047"/>
  <pageSetup horizontalDpi="600" verticalDpi="600" orientation="landscape" paperSize="8" scale="80" r:id="rId1"/>
  <rowBreaks count="1" manualBreakCount="1">
    <brk id="44" max="17" man="1"/>
  </rowBreaks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workbookViewId="0" topLeftCell="A66">
      <selection activeCell="D42" sqref="D42"/>
    </sheetView>
  </sheetViews>
  <sheetFormatPr defaultColWidth="9.00390625" defaultRowHeight="12.75"/>
  <cols>
    <col min="1" max="1" width="3.375" style="74" customWidth="1"/>
    <col min="2" max="2" width="23.75390625" style="53" customWidth="1"/>
    <col min="3" max="3" width="14.75390625" style="53" customWidth="1"/>
    <col min="4" max="4" width="9.875" style="53" customWidth="1"/>
    <col min="5" max="6" width="13.625" style="53" customWidth="1"/>
    <col min="7" max="7" width="12.875" style="53" customWidth="1"/>
    <col min="8" max="8" width="12.75390625" style="53" customWidth="1"/>
    <col min="9" max="9" width="12.625" style="53" customWidth="1"/>
    <col min="10" max="10" width="13.125" style="53" customWidth="1"/>
    <col min="11" max="14" width="11.75390625" style="53" customWidth="1"/>
    <col min="15" max="16" width="12.00390625" style="53" customWidth="1"/>
    <col min="17" max="16384" width="9.125" style="53" customWidth="1"/>
  </cols>
  <sheetData>
    <row r="1" spans="11:14" ht="12.75">
      <c r="K1" s="126" t="s">
        <v>75</v>
      </c>
      <c r="L1" s="126"/>
      <c r="M1" s="126"/>
      <c r="N1" s="126"/>
    </row>
    <row r="2" spans="1:14" ht="12.75">
      <c r="A2" s="404" t="s">
        <v>194</v>
      </c>
      <c r="B2" s="404"/>
      <c r="C2" s="404"/>
      <c r="D2" s="404"/>
      <c r="E2" s="404"/>
      <c r="F2" s="404"/>
      <c r="G2" s="404"/>
      <c r="H2" s="404"/>
      <c r="I2" s="404"/>
      <c r="J2" s="404"/>
      <c r="K2" s="126" t="s">
        <v>158</v>
      </c>
      <c r="L2" s="126"/>
      <c r="M2" s="126"/>
      <c r="N2" s="126"/>
    </row>
    <row r="3" spans="1:14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6" t="s">
        <v>201</v>
      </c>
      <c r="L3" s="126"/>
      <c r="M3" s="126"/>
      <c r="N3" s="126"/>
    </row>
    <row r="4" spans="1:14" ht="12.75">
      <c r="A4" s="125"/>
      <c r="B4" s="125" t="s">
        <v>202</v>
      </c>
      <c r="C4" s="125"/>
      <c r="D4" s="125"/>
      <c r="E4" s="125"/>
      <c r="F4" s="125"/>
      <c r="G4" s="125"/>
      <c r="H4" s="125"/>
      <c r="I4" s="125"/>
      <c r="J4" s="125"/>
      <c r="K4" s="126" t="s">
        <v>198</v>
      </c>
      <c r="L4" s="126"/>
      <c r="M4" s="126"/>
      <c r="N4" s="126"/>
    </row>
    <row r="5" spans="1:14" ht="13.5" thickBot="1">
      <c r="A5" s="124"/>
      <c r="B5" s="124"/>
      <c r="C5" s="124"/>
      <c r="D5" s="124"/>
      <c r="E5" s="124"/>
      <c r="F5" s="124"/>
      <c r="G5" s="125"/>
      <c r="H5" s="125"/>
      <c r="I5" s="125"/>
      <c r="J5" s="125"/>
      <c r="K5" s="331"/>
      <c r="L5" s="331"/>
      <c r="M5" s="331"/>
      <c r="N5" s="331"/>
    </row>
    <row r="6" spans="1:16" s="56" customFormat="1" ht="90.75" customHeight="1" thickBot="1">
      <c r="A6" s="54" t="s">
        <v>33</v>
      </c>
      <c r="B6" s="55" t="s">
        <v>36</v>
      </c>
      <c r="C6" s="55" t="s">
        <v>34</v>
      </c>
      <c r="D6" s="55" t="s">
        <v>76</v>
      </c>
      <c r="E6" s="55" t="s">
        <v>50</v>
      </c>
      <c r="F6" s="349" t="s">
        <v>60</v>
      </c>
      <c r="G6" s="405" t="s">
        <v>100</v>
      </c>
      <c r="H6" s="406"/>
      <c r="I6" s="406"/>
      <c r="J6" s="406"/>
      <c r="K6" s="406"/>
      <c r="L6" s="406"/>
      <c r="M6" s="406"/>
      <c r="N6" s="406"/>
      <c r="O6" s="406"/>
      <c r="P6" s="407"/>
    </row>
    <row r="7" spans="1:16" s="56" customFormat="1" ht="15" customHeight="1">
      <c r="A7" s="54">
        <v>1</v>
      </c>
      <c r="B7" s="55">
        <v>2</v>
      </c>
      <c r="C7" s="55">
        <v>3</v>
      </c>
      <c r="D7" s="55">
        <v>4</v>
      </c>
      <c r="E7" s="55">
        <v>5</v>
      </c>
      <c r="F7" s="252" t="s">
        <v>101</v>
      </c>
      <c r="G7" s="350">
        <v>7</v>
      </c>
      <c r="H7" s="351">
        <v>8</v>
      </c>
      <c r="I7" s="351">
        <v>9</v>
      </c>
      <c r="J7" s="351">
        <v>10</v>
      </c>
      <c r="K7" s="351">
        <v>11</v>
      </c>
      <c r="L7" s="352">
        <v>12</v>
      </c>
      <c r="M7" s="352">
        <v>13</v>
      </c>
      <c r="N7" s="352">
        <v>14</v>
      </c>
      <c r="O7" s="348">
        <v>15</v>
      </c>
      <c r="P7" s="348">
        <v>16</v>
      </c>
    </row>
    <row r="8" spans="1:16" s="56" customFormat="1" ht="21.75" customHeight="1">
      <c r="A8" s="401"/>
      <c r="B8" s="402"/>
      <c r="C8" s="402"/>
      <c r="D8" s="402"/>
      <c r="E8" s="403"/>
      <c r="F8" s="252"/>
      <c r="G8" s="266">
        <v>2010</v>
      </c>
      <c r="H8" s="60">
        <v>2011</v>
      </c>
      <c r="I8" s="145">
        <v>2012</v>
      </c>
      <c r="J8" s="145">
        <v>2013</v>
      </c>
      <c r="K8" s="145">
        <v>2014</v>
      </c>
      <c r="L8" s="332">
        <v>2015</v>
      </c>
      <c r="M8" s="332">
        <v>2016</v>
      </c>
      <c r="N8" s="332">
        <v>2017</v>
      </c>
      <c r="O8" s="267">
        <v>2018</v>
      </c>
      <c r="P8" s="267">
        <v>2019</v>
      </c>
    </row>
    <row r="9" spans="1:16" s="59" customFormat="1" ht="49.5" customHeight="1">
      <c r="A9" s="136" t="s">
        <v>61</v>
      </c>
      <c r="B9" s="391" t="s">
        <v>70</v>
      </c>
      <c r="C9" s="392"/>
      <c r="D9" s="393"/>
      <c r="E9" s="162">
        <f aca="true" t="shared" si="0" ref="E9:K9">E10+E17+E24+E31</f>
        <v>552408</v>
      </c>
      <c r="F9" s="253">
        <f>F10+F17+F24+F31</f>
        <v>476509</v>
      </c>
      <c r="G9" s="268">
        <f t="shared" si="0"/>
        <v>0</v>
      </c>
      <c r="H9" s="140">
        <f t="shared" si="0"/>
        <v>98003</v>
      </c>
      <c r="I9" s="137">
        <f t="shared" si="0"/>
        <v>55520</v>
      </c>
      <c r="J9" s="137">
        <f t="shared" si="0"/>
        <v>55038</v>
      </c>
      <c r="K9" s="137">
        <f t="shared" si="0"/>
        <v>54555</v>
      </c>
      <c r="L9" s="333">
        <f>L10+L17+L24+L31</f>
        <v>54072</v>
      </c>
      <c r="M9" s="333">
        <f>M10+M17+M24+M31</f>
        <v>53590</v>
      </c>
      <c r="N9" s="333">
        <f>N10+N17+N24+N31</f>
        <v>53107</v>
      </c>
      <c r="O9" s="253">
        <f>O10+O17+O24+O31</f>
        <v>52624</v>
      </c>
      <c r="P9" s="253">
        <f>P10+P17+P24+P31</f>
        <v>52142</v>
      </c>
    </row>
    <row r="10" spans="1:16" s="62" customFormat="1" ht="44.25" customHeight="1">
      <c r="A10" s="60" t="s">
        <v>62</v>
      </c>
      <c r="B10" s="390" t="s">
        <v>113</v>
      </c>
      <c r="C10" s="390"/>
      <c r="D10" s="390"/>
      <c r="E10" s="142">
        <f aca="true" t="shared" si="1" ref="E10:O10">SUM(E11:E16)</f>
        <v>0</v>
      </c>
      <c r="F10" s="254">
        <f t="shared" si="1"/>
        <v>0</v>
      </c>
      <c r="G10" s="269">
        <f t="shared" si="1"/>
        <v>0</v>
      </c>
      <c r="H10" s="61">
        <f t="shared" si="1"/>
        <v>0</v>
      </c>
      <c r="I10" s="61">
        <f t="shared" si="1"/>
        <v>0</v>
      </c>
      <c r="J10" s="61">
        <f t="shared" si="1"/>
        <v>0</v>
      </c>
      <c r="K10" s="61">
        <f t="shared" si="1"/>
        <v>0</v>
      </c>
      <c r="L10" s="334">
        <f t="shared" si="1"/>
        <v>0</v>
      </c>
      <c r="M10" s="334">
        <f t="shared" si="1"/>
        <v>0</v>
      </c>
      <c r="N10" s="334">
        <f t="shared" si="1"/>
        <v>0</v>
      </c>
      <c r="O10" s="254">
        <f t="shared" si="1"/>
        <v>0</v>
      </c>
      <c r="P10" s="254">
        <f>SUM(P11:P16)</f>
        <v>0</v>
      </c>
    </row>
    <row r="11" spans="1:16" ht="11.25" customHeight="1">
      <c r="A11" s="57">
        <v>1</v>
      </c>
      <c r="B11" s="187"/>
      <c r="C11" s="188"/>
      <c r="D11" s="188"/>
      <c r="E11" s="143"/>
      <c r="F11" s="255"/>
      <c r="G11" s="270"/>
      <c r="H11" s="191"/>
      <c r="I11" s="179"/>
      <c r="J11" s="179"/>
      <c r="K11" s="179"/>
      <c r="L11" s="335"/>
      <c r="M11" s="335"/>
      <c r="N11" s="335"/>
      <c r="O11" s="258"/>
      <c r="P11" s="258"/>
    </row>
    <row r="12" spans="1:16" ht="15.75" customHeight="1">
      <c r="A12" s="57">
        <v>2</v>
      </c>
      <c r="B12" s="187"/>
      <c r="C12" s="182"/>
      <c r="D12" s="64"/>
      <c r="E12" s="143"/>
      <c r="F12" s="255"/>
      <c r="G12" s="270"/>
      <c r="H12" s="191"/>
      <c r="I12" s="179"/>
      <c r="J12" s="179"/>
      <c r="K12" s="179"/>
      <c r="L12" s="335"/>
      <c r="M12" s="335"/>
      <c r="N12" s="335"/>
      <c r="O12" s="258"/>
      <c r="P12" s="258"/>
    </row>
    <row r="13" spans="1:16" ht="9" customHeight="1" hidden="1">
      <c r="A13" s="57">
        <v>3</v>
      </c>
      <c r="B13" s="187"/>
      <c r="C13" s="188"/>
      <c r="D13" s="188"/>
      <c r="E13" s="143"/>
      <c r="F13" s="255"/>
      <c r="G13" s="270"/>
      <c r="H13" s="191"/>
      <c r="I13" s="179"/>
      <c r="J13" s="179"/>
      <c r="K13" s="179"/>
      <c r="L13" s="335"/>
      <c r="M13" s="335"/>
      <c r="N13" s="335"/>
      <c r="O13" s="258"/>
      <c r="P13" s="258"/>
    </row>
    <row r="14" spans="1:16" ht="10.5" customHeight="1" hidden="1">
      <c r="A14" s="57">
        <v>4</v>
      </c>
      <c r="B14" s="187"/>
      <c r="C14" s="188"/>
      <c r="D14" s="188"/>
      <c r="E14" s="143"/>
      <c r="F14" s="255"/>
      <c r="G14" s="270"/>
      <c r="H14" s="191"/>
      <c r="I14" s="179"/>
      <c r="J14" s="179"/>
      <c r="K14" s="179"/>
      <c r="L14" s="335"/>
      <c r="M14" s="335"/>
      <c r="N14" s="335"/>
      <c r="O14" s="258"/>
      <c r="P14" s="258"/>
    </row>
    <row r="15" spans="1:16" ht="10.5" customHeight="1" hidden="1">
      <c r="A15" s="57">
        <v>5</v>
      </c>
      <c r="B15" s="172"/>
      <c r="C15" s="182"/>
      <c r="D15" s="171"/>
      <c r="E15" s="144"/>
      <c r="F15" s="255">
        <f>SUM(G15:H15)</f>
        <v>0</v>
      </c>
      <c r="G15" s="270"/>
      <c r="H15" s="191"/>
      <c r="I15" s="179"/>
      <c r="J15" s="179"/>
      <c r="K15" s="179"/>
      <c r="L15" s="335"/>
      <c r="M15" s="335"/>
      <c r="N15" s="335"/>
      <c r="O15" s="258"/>
      <c r="P15" s="258"/>
    </row>
    <row r="16" spans="1:16" ht="13.5" customHeight="1" hidden="1">
      <c r="A16" s="57"/>
      <c r="B16" s="63"/>
      <c r="C16" s="64"/>
      <c r="D16" s="64"/>
      <c r="E16" s="143"/>
      <c r="F16" s="255"/>
      <c r="G16" s="270"/>
      <c r="H16" s="191"/>
      <c r="I16" s="179"/>
      <c r="J16" s="179"/>
      <c r="K16" s="179"/>
      <c r="L16" s="335"/>
      <c r="M16" s="335"/>
      <c r="N16" s="335"/>
      <c r="O16" s="258"/>
      <c r="P16" s="258"/>
    </row>
    <row r="17" spans="1:16" s="59" customFormat="1" ht="42" customHeight="1">
      <c r="A17" s="65" t="s">
        <v>63</v>
      </c>
      <c r="B17" s="390" t="s">
        <v>114</v>
      </c>
      <c r="C17" s="390"/>
      <c r="D17" s="390"/>
      <c r="E17" s="61">
        <f aca="true" t="shared" si="2" ref="E17:K17">SUM(E18:E23)</f>
        <v>0</v>
      </c>
      <c r="F17" s="256">
        <f>SUM(F18:F23)</f>
        <v>0</v>
      </c>
      <c r="G17" s="271">
        <f t="shared" si="2"/>
        <v>0</v>
      </c>
      <c r="H17" s="138">
        <f t="shared" si="2"/>
        <v>0</v>
      </c>
      <c r="I17" s="138">
        <f t="shared" si="2"/>
        <v>0</v>
      </c>
      <c r="J17" s="138">
        <f t="shared" si="2"/>
        <v>0</v>
      </c>
      <c r="K17" s="138">
        <f t="shared" si="2"/>
        <v>0</v>
      </c>
      <c r="L17" s="336">
        <f>SUM(L18:L23)</f>
        <v>0</v>
      </c>
      <c r="M17" s="336">
        <f>SUM(M18:M23)</f>
        <v>0</v>
      </c>
      <c r="N17" s="336">
        <f>SUM(N18:N23)</f>
        <v>0</v>
      </c>
      <c r="O17" s="256">
        <f>SUM(O18:O23)</f>
        <v>0</v>
      </c>
      <c r="P17" s="256">
        <f>SUM(P18:P23)</f>
        <v>0</v>
      </c>
    </row>
    <row r="18" spans="1:16" s="59" customFormat="1" ht="14.25" customHeight="1">
      <c r="A18" s="176"/>
      <c r="B18" s="180"/>
      <c r="C18" s="181"/>
      <c r="D18" s="181"/>
      <c r="E18" s="148"/>
      <c r="F18" s="257">
        <f aca="true" t="shared" si="3" ref="F18:F23">SUM(G18:O18)</f>
        <v>0</v>
      </c>
      <c r="G18" s="272"/>
      <c r="H18" s="192"/>
      <c r="I18" s="146"/>
      <c r="J18" s="146"/>
      <c r="K18" s="146"/>
      <c r="L18" s="337"/>
      <c r="M18" s="337"/>
      <c r="N18" s="337"/>
      <c r="O18" s="257"/>
      <c r="P18" s="257"/>
    </row>
    <row r="19" spans="1:16" s="59" customFormat="1" ht="14.25" customHeight="1">
      <c r="A19" s="176"/>
      <c r="B19" s="180"/>
      <c r="C19" s="181"/>
      <c r="D19" s="181"/>
      <c r="E19" s="148"/>
      <c r="F19" s="257">
        <f t="shared" si="3"/>
        <v>0</v>
      </c>
      <c r="G19" s="272"/>
      <c r="H19" s="192"/>
      <c r="I19" s="146"/>
      <c r="J19" s="146"/>
      <c r="K19" s="146"/>
      <c r="L19" s="337"/>
      <c r="M19" s="337"/>
      <c r="N19" s="337"/>
      <c r="O19" s="257"/>
      <c r="P19" s="257"/>
    </row>
    <row r="20" spans="1:16" s="59" customFormat="1" ht="14.25" customHeight="1" hidden="1">
      <c r="A20" s="176"/>
      <c r="B20" s="180"/>
      <c r="C20" s="181"/>
      <c r="D20" s="181"/>
      <c r="E20" s="148"/>
      <c r="F20" s="257">
        <f t="shared" si="3"/>
        <v>0</v>
      </c>
      <c r="G20" s="272"/>
      <c r="H20" s="192"/>
      <c r="I20" s="146"/>
      <c r="J20" s="146"/>
      <c r="K20" s="146"/>
      <c r="L20" s="337"/>
      <c r="M20" s="337"/>
      <c r="N20" s="337"/>
      <c r="O20" s="257"/>
      <c r="P20" s="257"/>
    </row>
    <row r="21" spans="1:16" ht="12.75" hidden="1">
      <c r="A21" s="67"/>
      <c r="B21" s="173"/>
      <c r="C21" s="182"/>
      <c r="D21" s="182"/>
      <c r="E21" s="179"/>
      <c r="F21" s="257">
        <f t="shared" si="3"/>
        <v>0</v>
      </c>
      <c r="G21" s="273"/>
      <c r="H21" s="192"/>
      <c r="I21" s="147"/>
      <c r="J21" s="147"/>
      <c r="K21" s="147"/>
      <c r="L21" s="338"/>
      <c r="M21" s="338"/>
      <c r="N21" s="338"/>
      <c r="O21" s="259"/>
      <c r="P21" s="259"/>
    </row>
    <row r="22" spans="1:16" ht="12.75" hidden="1">
      <c r="A22" s="67"/>
      <c r="B22" s="173"/>
      <c r="C22" s="182"/>
      <c r="D22" s="182"/>
      <c r="E22" s="179"/>
      <c r="F22" s="257">
        <f t="shared" si="3"/>
        <v>0</v>
      </c>
      <c r="G22" s="273"/>
      <c r="H22" s="192"/>
      <c r="I22" s="147"/>
      <c r="J22" s="147"/>
      <c r="K22" s="147"/>
      <c r="L22" s="338"/>
      <c r="M22" s="338"/>
      <c r="N22" s="338"/>
      <c r="O22" s="259"/>
      <c r="P22" s="259"/>
    </row>
    <row r="23" spans="1:16" ht="12.75" hidden="1">
      <c r="A23" s="67"/>
      <c r="B23" s="173"/>
      <c r="C23" s="182"/>
      <c r="D23" s="182"/>
      <c r="E23" s="179"/>
      <c r="F23" s="257">
        <f t="shared" si="3"/>
        <v>0</v>
      </c>
      <c r="G23" s="273"/>
      <c r="H23" s="192"/>
      <c r="I23" s="147"/>
      <c r="J23" s="147"/>
      <c r="K23" s="147"/>
      <c r="L23" s="338"/>
      <c r="M23" s="338"/>
      <c r="N23" s="338"/>
      <c r="O23" s="259"/>
      <c r="P23" s="259"/>
    </row>
    <row r="24" spans="1:16" s="59" customFormat="1" ht="44.25" customHeight="1">
      <c r="A24" s="66" t="s">
        <v>64</v>
      </c>
      <c r="B24" s="390" t="s">
        <v>77</v>
      </c>
      <c r="C24" s="390"/>
      <c r="D24" s="390"/>
      <c r="E24" s="61">
        <f aca="true" t="shared" si="4" ref="E24:L24">SUM(E25:E30)</f>
        <v>510408</v>
      </c>
      <c r="F24" s="254">
        <f t="shared" si="4"/>
        <v>434509</v>
      </c>
      <c r="G24" s="269">
        <f t="shared" si="4"/>
        <v>0</v>
      </c>
      <c r="H24" s="61">
        <f t="shared" si="4"/>
        <v>56003</v>
      </c>
      <c r="I24" s="61">
        <f t="shared" si="4"/>
        <v>55520</v>
      </c>
      <c r="J24" s="61">
        <f t="shared" si="4"/>
        <v>55038</v>
      </c>
      <c r="K24" s="61">
        <f t="shared" si="4"/>
        <v>54555</v>
      </c>
      <c r="L24" s="334">
        <f t="shared" si="4"/>
        <v>54072</v>
      </c>
      <c r="M24" s="334">
        <f>SUM(M25)</f>
        <v>53590</v>
      </c>
      <c r="N24" s="334">
        <f>SUM(N25)</f>
        <v>53107</v>
      </c>
      <c r="O24" s="254">
        <f>SUM(O25)</f>
        <v>52624</v>
      </c>
      <c r="P24" s="254">
        <f>SUM(P25)</f>
        <v>52142</v>
      </c>
    </row>
    <row r="25" spans="1:16" s="59" customFormat="1" ht="81" customHeight="1">
      <c r="A25" s="176">
        <v>1</v>
      </c>
      <c r="B25" s="177" t="s">
        <v>157</v>
      </c>
      <c r="C25" s="178" t="s">
        <v>155</v>
      </c>
      <c r="D25" s="345" t="s">
        <v>159</v>
      </c>
      <c r="E25" s="148">
        <v>510408</v>
      </c>
      <c r="F25" s="257">
        <f aca="true" t="shared" si="5" ref="F25:F30">SUM(G25:O25)</f>
        <v>434509</v>
      </c>
      <c r="G25" s="272"/>
      <c r="H25" s="192">
        <v>56003</v>
      </c>
      <c r="I25" s="146">
        <v>55520</v>
      </c>
      <c r="J25" s="146">
        <v>55038</v>
      </c>
      <c r="K25" s="146">
        <v>54555</v>
      </c>
      <c r="L25" s="337">
        <v>54072</v>
      </c>
      <c r="M25" s="337">
        <v>53590</v>
      </c>
      <c r="N25" s="337">
        <v>53107</v>
      </c>
      <c r="O25" s="257">
        <v>52624</v>
      </c>
      <c r="P25" s="257">
        <v>52142</v>
      </c>
    </row>
    <row r="26" spans="1:16" s="59" customFormat="1" ht="12.75" customHeight="1">
      <c r="A26" s="176"/>
      <c r="B26" s="177"/>
      <c r="C26" s="178"/>
      <c r="D26" s="178"/>
      <c r="E26" s="148"/>
      <c r="F26" s="257">
        <f t="shared" si="5"/>
        <v>0</v>
      </c>
      <c r="G26" s="272"/>
      <c r="H26" s="192"/>
      <c r="I26" s="146"/>
      <c r="J26" s="146"/>
      <c r="K26" s="146"/>
      <c r="L26" s="337"/>
      <c r="M26" s="337"/>
      <c r="N26" s="337"/>
      <c r="O26" s="257"/>
      <c r="P26" s="257"/>
    </row>
    <row r="27" spans="1:16" s="59" customFormat="1" ht="12.75" customHeight="1" hidden="1">
      <c r="A27" s="176"/>
      <c r="B27" s="177"/>
      <c r="C27" s="178"/>
      <c r="D27" s="178"/>
      <c r="E27" s="148"/>
      <c r="F27" s="257">
        <f t="shared" si="5"/>
        <v>0</v>
      </c>
      <c r="G27" s="272"/>
      <c r="H27" s="192"/>
      <c r="I27" s="146"/>
      <c r="J27" s="146"/>
      <c r="K27" s="146"/>
      <c r="L27" s="337"/>
      <c r="M27" s="337"/>
      <c r="N27" s="337"/>
      <c r="O27" s="257"/>
      <c r="P27" s="257"/>
    </row>
    <row r="28" spans="1:16" ht="12.75" hidden="1">
      <c r="A28" s="67"/>
      <c r="B28" s="174"/>
      <c r="C28" s="175"/>
      <c r="D28" s="175"/>
      <c r="E28" s="179"/>
      <c r="F28" s="257">
        <f t="shared" si="5"/>
        <v>0</v>
      </c>
      <c r="G28" s="273"/>
      <c r="H28" s="192"/>
      <c r="I28" s="147"/>
      <c r="J28" s="147"/>
      <c r="K28" s="147"/>
      <c r="L28" s="338"/>
      <c r="M28" s="338"/>
      <c r="N28" s="338"/>
      <c r="O28" s="259"/>
      <c r="P28" s="259"/>
    </row>
    <row r="29" spans="1:16" ht="12.75" hidden="1">
      <c r="A29" s="67"/>
      <c r="B29" s="174"/>
      <c r="C29" s="175"/>
      <c r="D29" s="175"/>
      <c r="E29" s="179"/>
      <c r="F29" s="257">
        <f t="shared" si="5"/>
        <v>0</v>
      </c>
      <c r="G29" s="273"/>
      <c r="H29" s="192"/>
      <c r="I29" s="147"/>
      <c r="J29" s="147"/>
      <c r="K29" s="147"/>
      <c r="L29" s="338"/>
      <c r="M29" s="338"/>
      <c r="N29" s="338"/>
      <c r="O29" s="259"/>
      <c r="P29" s="259"/>
    </row>
    <row r="30" spans="1:16" ht="12.75" customHeight="1" hidden="1">
      <c r="A30" s="67"/>
      <c r="B30" s="174"/>
      <c r="C30" s="175"/>
      <c r="D30" s="175"/>
      <c r="E30" s="179"/>
      <c r="F30" s="257">
        <f t="shared" si="5"/>
        <v>0</v>
      </c>
      <c r="G30" s="273"/>
      <c r="H30" s="192"/>
      <c r="I30" s="147"/>
      <c r="J30" s="147"/>
      <c r="K30" s="147"/>
      <c r="L30" s="338"/>
      <c r="M30" s="338"/>
      <c r="N30" s="338"/>
      <c r="O30" s="259"/>
      <c r="P30" s="259"/>
    </row>
    <row r="31" spans="1:16" s="59" customFormat="1" ht="36" customHeight="1">
      <c r="A31" s="60" t="s">
        <v>65</v>
      </c>
      <c r="B31" s="390" t="s">
        <v>66</v>
      </c>
      <c r="C31" s="390"/>
      <c r="D31" s="390"/>
      <c r="E31" s="61">
        <f aca="true" t="shared" si="6" ref="E31:O31">SUM(E32:E37)</f>
        <v>42000</v>
      </c>
      <c r="F31" s="254">
        <f t="shared" si="6"/>
        <v>42000</v>
      </c>
      <c r="G31" s="269">
        <f t="shared" si="6"/>
        <v>0</v>
      </c>
      <c r="H31" s="61">
        <f t="shared" si="6"/>
        <v>42000</v>
      </c>
      <c r="I31" s="61">
        <f t="shared" si="6"/>
        <v>0</v>
      </c>
      <c r="J31" s="61">
        <f t="shared" si="6"/>
        <v>0</v>
      </c>
      <c r="K31" s="61">
        <f t="shared" si="6"/>
        <v>0</v>
      </c>
      <c r="L31" s="334">
        <f t="shared" si="6"/>
        <v>0</v>
      </c>
      <c r="M31" s="334">
        <f t="shared" si="6"/>
        <v>0</v>
      </c>
      <c r="N31" s="334">
        <f t="shared" si="6"/>
        <v>0</v>
      </c>
      <c r="O31" s="254">
        <f t="shared" si="6"/>
        <v>0</v>
      </c>
      <c r="P31" s="254">
        <f>SUM(P32:P37)</f>
        <v>0</v>
      </c>
    </row>
    <row r="32" spans="1:16" s="59" customFormat="1" ht="51">
      <c r="A32" s="67">
        <v>1</v>
      </c>
      <c r="B32" s="174" t="s">
        <v>154</v>
      </c>
      <c r="C32" s="186" t="s">
        <v>155</v>
      </c>
      <c r="D32" s="67" t="s">
        <v>153</v>
      </c>
      <c r="E32" s="179">
        <v>34000</v>
      </c>
      <c r="F32" s="258">
        <v>34000</v>
      </c>
      <c r="G32" s="270"/>
      <c r="H32" s="191">
        <v>34000</v>
      </c>
      <c r="I32" s="179"/>
      <c r="J32" s="179"/>
      <c r="K32" s="179"/>
      <c r="L32" s="335"/>
      <c r="M32" s="335"/>
      <c r="N32" s="335"/>
      <c r="O32" s="258"/>
      <c r="P32" s="258"/>
    </row>
    <row r="33" spans="1:16" s="59" customFormat="1" ht="25.5">
      <c r="A33" s="67">
        <v>2</v>
      </c>
      <c r="B33" s="174" t="s">
        <v>161</v>
      </c>
      <c r="C33" s="175" t="s">
        <v>156</v>
      </c>
      <c r="D33" s="67" t="s">
        <v>153</v>
      </c>
      <c r="E33" s="147">
        <v>8000</v>
      </c>
      <c r="F33" s="259">
        <f>SUM(G33:O33)</f>
        <v>8000</v>
      </c>
      <c r="G33" s="273"/>
      <c r="H33" s="192">
        <v>8000</v>
      </c>
      <c r="I33" s="147"/>
      <c r="J33" s="147"/>
      <c r="K33" s="147"/>
      <c r="L33" s="338"/>
      <c r="M33" s="338"/>
      <c r="N33" s="338"/>
      <c r="O33" s="259"/>
      <c r="P33" s="259"/>
    </row>
    <row r="34" spans="1:16" ht="12.75" hidden="1">
      <c r="A34" s="67"/>
      <c r="B34" s="174"/>
      <c r="C34" s="175"/>
      <c r="D34" s="67"/>
      <c r="E34" s="147"/>
      <c r="F34" s="259">
        <f>SUM(G34:O34)</f>
        <v>0</v>
      </c>
      <c r="G34" s="273"/>
      <c r="H34" s="192"/>
      <c r="I34" s="147"/>
      <c r="J34" s="147"/>
      <c r="K34" s="147"/>
      <c r="L34" s="338"/>
      <c r="M34" s="338"/>
      <c r="N34" s="338"/>
      <c r="O34" s="259"/>
      <c r="P34" s="259"/>
    </row>
    <row r="35" spans="1:16" ht="12.75" hidden="1">
      <c r="A35" s="67"/>
      <c r="B35" s="174"/>
      <c r="C35" s="175"/>
      <c r="D35" s="67"/>
      <c r="E35" s="147"/>
      <c r="F35" s="259">
        <f>SUM(G35:O35)</f>
        <v>0</v>
      </c>
      <c r="G35" s="273"/>
      <c r="H35" s="192"/>
      <c r="I35" s="147"/>
      <c r="J35" s="147"/>
      <c r="K35" s="147"/>
      <c r="L35" s="338"/>
      <c r="M35" s="338"/>
      <c r="N35" s="338"/>
      <c r="O35" s="259"/>
      <c r="P35" s="259"/>
    </row>
    <row r="36" spans="1:16" ht="12.75" hidden="1">
      <c r="A36" s="67"/>
      <c r="B36" s="174"/>
      <c r="C36" s="175"/>
      <c r="D36" s="67"/>
      <c r="E36" s="147"/>
      <c r="F36" s="259">
        <f>SUM(G36:O36)</f>
        <v>0</v>
      </c>
      <c r="G36" s="273"/>
      <c r="H36" s="192"/>
      <c r="I36" s="147"/>
      <c r="J36" s="147"/>
      <c r="K36" s="147"/>
      <c r="L36" s="338"/>
      <c r="M36" s="338"/>
      <c r="N36" s="338"/>
      <c r="O36" s="259"/>
      <c r="P36" s="259"/>
    </row>
    <row r="37" spans="1:16" ht="12.75" hidden="1">
      <c r="A37" s="67"/>
      <c r="B37" s="174"/>
      <c r="C37" s="175"/>
      <c r="D37" s="67"/>
      <c r="E37" s="147"/>
      <c r="F37" s="259">
        <f>SUM(G37:O37)</f>
        <v>0</v>
      </c>
      <c r="G37" s="273"/>
      <c r="H37" s="192"/>
      <c r="I37" s="147"/>
      <c r="J37" s="147"/>
      <c r="K37" s="147"/>
      <c r="L37" s="338"/>
      <c r="M37" s="338"/>
      <c r="N37" s="338"/>
      <c r="O37" s="259"/>
      <c r="P37" s="259"/>
    </row>
    <row r="38" spans="1:16" s="59" customFormat="1" ht="47.25" customHeight="1">
      <c r="A38" s="58" t="s">
        <v>67</v>
      </c>
      <c r="B38" s="397" t="s">
        <v>71</v>
      </c>
      <c r="C38" s="397"/>
      <c r="D38" s="397"/>
      <c r="E38" s="163">
        <f aca="true" t="shared" si="7" ref="E38:P38">E39+E46+E73</f>
        <v>51404804</v>
      </c>
      <c r="F38" s="260">
        <f t="shared" si="7"/>
        <v>37078962</v>
      </c>
      <c r="G38" s="274">
        <f t="shared" si="7"/>
        <v>0</v>
      </c>
      <c r="H38" s="61">
        <f t="shared" si="7"/>
        <v>14355006</v>
      </c>
      <c r="I38" s="139">
        <f t="shared" si="7"/>
        <v>2718206</v>
      </c>
      <c r="J38" s="139">
        <f t="shared" si="7"/>
        <v>3797544</v>
      </c>
      <c r="K38" s="139">
        <f t="shared" si="7"/>
        <v>5008206</v>
      </c>
      <c r="L38" s="339">
        <f t="shared" si="7"/>
        <v>7400000</v>
      </c>
      <c r="M38" s="339">
        <f t="shared" si="7"/>
        <v>3800000</v>
      </c>
      <c r="N38" s="339">
        <f t="shared" si="7"/>
        <v>0</v>
      </c>
      <c r="O38" s="260">
        <f t="shared" si="7"/>
        <v>0</v>
      </c>
      <c r="P38" s="260">
        <f t="shared" si="7"/>
        <v>0</v>
      </c>
    </row>
    <row r="39" spans="1:16" s="68" customFormat="1" ht="39" customHeight="1">
      <c r="A39" s="60" t="s">
        <v>62</v>
      </c>
      <c r="B39" s="390" t="s">
        <v>115</v>
      </c>
      <c r="C39" s="390"/>
      <c r="D39" s="390"/>
      <c r="E39" s="142">
        <f aca="true" t="shared" si="8" ref="E39:K39">SUM(E40:E45)</f>
        <v>23720000</v>
      </c>
      <c r="F39" s="254">
        <f t="shared" si="8"/>
        <v>15466800</v>
      </c>
      <c r="G39" s="269">
        <f t="shared" si="8"/>
        <v>0</v>
      </c>
      <c r="H39" s="61">
        <f t="shared" si="8"/>
        <v>7006800</v>
      </c>
      <c r="I39" s="61">
        <f t="shared" si="8"/>
        <v>2460000</v>
      </c>
      <c r="J39" s="61">
        <f t="shared" si="8"/>
        <v>3000000</v>
      </c>
      <c r="K39" s="61">
        <f t="shared" si="8"/>
        <v>3000000</v>
      </c>
      <c r="L39" s="334">
        <f>SUM(L40:L45)</f>
        <v>0</v>
      </c>
      <c r="M39" s="334">
        <f>SUM(M40:M45)</f>
        <v>0</v>
      </c>
      <c r="N39" s="334">
        <f>SUM(N40:N45)</f>
        <v>0</v>
      </c>
      <c r="O39" s="254">
        <f>SUM(O40:O45)</f>
        <v>0</v>
      </c>
      <c r="P39" s="254">
        <f>SUM(P40:P45)</f>
        <v>0</v>
      </c>
    </row>
    <row r="40" spans="1:16" s="70" customFormat="1" ht="65.25" customHeight="1">
      <c r="A40" s="169">
        <v>1</v>
      </c>
      <c r="B40" s="172" t="s">
        <v>203</v>
      </c>
      <c r="C40" s="182" t="s">
        <v>155</v>
      </c>
      <c r="D40" s="171" t="s">
        <v>171</v>
      </c>
      <c r="E40" s="144">
        <v>1600000</v>
      </c>
      <c r="F40" s="261">
        <v>1500000</v>
      </c>
      <c r="G40" s="275"/>
      <c r="H40" s="193">
        <v>1500000</v>
      </c>
      <c r="I40" s="170"/>
      <c r="J40" s="170"/>
      <c r="K40" s="170"/>
      <c r="L40" s="340"/>
      <c r="M40" s="340"/>
      <c r="N40" s="340"/>
      <c r="O40" s="261"/>
      <c r="P40" s="261"/>
    </row>
    <row r="41" spans="1:16" s="69" customFormat="1" ht="69" customHeight="1">
      <c r="A41" s="176">
        <v>2</v>
      </c>
      <c r="B41" s="180" t="s">
        <v>204</v>
      </c>
      <c r="C41" s="182" t="s">
        <v>155</v>
      </c>
      <c r="D41" s="180" t="s">
        <v>171</v>
      </c>
      <c r="E41" s="183">
        <v>3100000</v>
      </c>
      <c r="F41" s="262">
        <v>3000000</v>
      </c>
      <c r="G41" s="276"/>
      <c r="H41" s="191">
        <v>1040000</v>
      </c>
      <c r="I41" s="148">
        <v>1960000</v>
      </c>
      <c r="J41" s="148"/>
      <c r="K41" s="148"/>
      <c r="L41" s="341"/>
      <c r="M41" s="341"/>
      <c r="N41" s="341"/>
      <c r="O41" s="262"/>
      <c r="P41" s="262"/>
    </row>
    <row r="42" spans="1:16" s="69" customFormat="1" ht="54.75" customHeight="1">
      <c r="A42" s="176">
        <v>3</v>
      </c>
      <c r="B42" s="172" t="s">
        <v>189</v>
      </c>
      <c r="C42" s="180" t="s">
        <v>155</v>
      </c>
      <c r="D42" s="171" t="s">
        <v>186</v>
      </c>
      <c r="E42" s="144">
        <v>15280000</v>
      </c>
      <c r="F42" s="261">
        <v>8030000</v>
      </c>
      <c r="G42" s="276"/>
      <c r="H42" s="193">
        <v>1530000</v>
      </c>
      <c r="I42" s="170">
        <v>500000</v>
      </c>
      <c r="J42" s="170">
        <v>3000000</v>
      </c>
      <c r="K42" s="170">
        <v>3000000</v>
      </c>
      <c r="L42" s="341"/>
      <c r="M42" s="341"/>
      <c r="N42" s="341"/>
      <c r="O42" s="262"/>
      <c r="P42" s="262"/>
    </row>
    <row r="43" spans="1:16" s="70" customFormat="1" ht="43.5" customHeight="1">
      <c r="A43" s="176">
        <v>4</v>
      </c>
      <c r="B43" s="180" t="s">
        <v>190</v>
      </c>
      <c r="C43" s="184" t="s">
        <v>155</v>
      </c>
      <c r="D43" s="180" t="s">
        <v>117</v>
      </c>
      <c r="E43" s="183">
        <v>3430000</v>
      </c>
      <c r="F43" s="262">
        <v>2630000</v>
      </c>
      <c r="G43" s="272"/>
      <c r="H43" s="191">
        <v>2630000</v>
      </c>
      <c r="I43" s="146"/>
      <c r="J43" s="146"/>
      <c r="K43" s="146"/>
      <c r="L43" s="337"/>
      <c r="M43" s="337"/>
      <c r="N43" s="337"/>
      <c r="O43" s="257"/>
      <c r="P43" s="257"/>
    </row>
    <row r="44" spans="1:16" s="70" customFormat="1" ht="66" customHeight="1">
      <c r="A44" s="176">
        <v>5</v>
      </c>
      <c r="B44" s="180" t="s">
        <v>191</v>
      </c>
      <c r="C44" s="184" t="s">
        <v>155</v>
      </c>
      <c r="D44" s="184" t="s">
        <v>176</v>
      </c>
      <c r="E44" s="183">
        <v>310000</v>
      </c>
      <c r="F44" s="262">
        <f>SUM(G44:O44)</f>
        <v>306800</v>
      </c>
      <c r="G44" s="272"/>
      <c r="H44" s="192">
        <v>306800</v>
      </c>
      <c r="I44" s="146"/>
      <c r="J44" s="146"/>
      <c r="K44" s="146"/>
      <c r="L44" s="337"/>
      <c r="M44" s="337"/>
      <c r="N44" s="337"/>
      <c r="O44" s="257"/>
      <c r="P44" s="257"/>
    </row>
    <row r="45" spans="1:16" s="70" customFormat="1" ht="14.25" customHeight="1">
      <c r="A45" s="176"/>
      <c r="B45" s="184"/>
      <c r="C45" s="184"/>
      <c r="D45" s="184"/>
      <c r="E45" s="183"/>
      <c r="F45" s="262">
        <f>SUM(G45:O45)</f>
        <v>0</v>
      </c>
      <c r="G45" s="272"/>
      <c r="H45" s="192"/>
      <c r="I45" s="146"/>
      <c r="J45" s="146"/>
      <c r="K45" s="146"/>
      <c r="L45" s="337"/>
      <c r="M45" s="337"/>
      <c r="N45" s="337"/>
      <c r="O45" s="257"/>
      <c r="P45" s="257"/>
    </row>
    <row r="46" spans="1:16" s="70" customFormat="1" ht="41.25" customHeight="1">
      <c r="A46" s="71" t="s">
        <v>63</v>
      </c>
      <c r="B46" s="398" t="s">
        <v>112</v>
      </c>
      <c r="C46" s="399"/>
      <c r="D46" s="400"/>
      <c r="E46" s="142">
        <f aca="true" t="shared" si="9" ref="E46:K46">SUM(E47:E72)</f>
        <v>27684804</v>
      </c>
      <c r="F46" s="263">
        <f t="shared" si="9"/>
        <v>21612162</v>
      </c>
      <c r="G46" s="277">
        <f t="shared" si="9"/>
        <v>0</v>
      </c>
      <c r="H46" s="140">
        <f t="shared" si="9"/>
        <v>7348206</v>
      </c>
      <c r="I46" s="140">
        <f t="shared" si="9"/>
        <v>258206</v>
      </c>
      <c r="J46" s="140">
        <f t="shared" si="9"/>
        <v>797544</v>
      </c>
      <c r="K46" s="140">
        <f t="shared" si="9"/>
        <v>2008206</v>
      </c>
      <c r="L46" s="342">
        <f>SUM(L47:L72)</f>
        <v>7400000</v>
      </c>
      <c r="M46" s="342">
        <f>SUM(M47:M72)</f>
        <v>3800000</v>
      </c>
      <c r="N46" s="342">
        <f>SUM(N47:N72)</f>
        <v>0</v>
      </c>
      <c r="O46" s="263">
        <f>SUM(O47:O72)</f>
        <v>0</v>
      </c>
      <c r="P46" s="263">
        <f>SUM(P47:P72)</f>
        <v>0</v>
      </c>
    </row>
    <row r="47" spans="1:16" s="70" customFormat="1" ht="45" customHeight="1">
      <c r="A47" s="169">
        <v>1</v>
      </c>
      <c r="B47" s="172" t="s">
        <v>164</v>
      </c>
      <c r="C47" s="182" t="s">
        <v>155</v>
      </c>
      <c r="D47" s="171" t="s">
        <v>162</v>
      </c>
      <c r="E47" s="144">
        <v>4100000</v>
      </c>
      <c r="F47" s="261">
        <v>4100000</v>
      </c>
      <c r="G47" s="275"/>
      <c r="H47" s="193">
        <v>100000</v>
      </c>
      <c r="I47" s="170"/>
      <c r="J47" s="170"/>
      <c r="K47" s="170"/>
      <c r="L47" s="340">
        <v>2700000</v>
      </c>
      <c r="M47" s="340">
        <v>1300000</v>
      </c>
      <c r="N47" s="340"/>
      <c r="O47" s="261"/>
      <c r="P47" s="261"/>
    </row>
    <row r="48" spans="1:16" s="70" customFormat="1" ht="54" customHeight="1">
      <c r="A48" s="169">
        <v>2</v>
      </c>
      <c r="B48" s="172" t="s">
        <v>196</v>
      </c>
      <c r="C48" s="182" t="s">
        <v>155</v>
      </c>
      <c r="D48" s="171" t="s">
        <v>186</v>
      </c>
      <c r="E48" s="144">
        <v>2900000</v>
      </c>
      <c r="F48" s="321">
        <v>1300000</v>
      </c>
      <c r="G48" s="276"/>
      <c r="H48" s="191">
        <v>150000</v>
      </c>
      <c r="I48" s="148"/>
      <c r="J48" s="148"/>
      <c r="K48" s="148">
        <v>1150000</v>
      </c>
      <c r="L48" s="341"/>
      <c r="M48" s="341"/>
      <c r="N48" s="341"/>
      <c r="O48" s="262"/>
      <c r="P48" s="262"/>
    </row>
    <row r="49" spans="1:16" s="70" customFormat="1" ht="45" customHeight="1">
      <c r="A49" s="169">
        <v>3</v>
      </c>
      <c r="B49" s="172" t="s">
        <v>195</v>
      </c>
      <c r="C49" s="182" t="s">
        <v>155</v>
      </c>
      <c r="D49" s="171" t="s">
        <v>172</v>
      </c>
      <c r="E49" s="144">
        <v>300000</v>
      </c>
      <c r="F49" s="321">
        <v>300000</v>
      </c>
      <c r="G49" s="276"/>
      <c r="H49" s="191">
        <v>300000</v>
      </c>
      <c r="I49" s="148"/>
      <c r="J49" s="148"/>
      <c r="K49" s="148"/>
      <c r="L49" s="341"/>
      <c r="M49" s="341"/>
      <c r="N49" s="341"/>
      <c r="O49" s="262"/>
      <c r="P49" s="262"/>
    </row>
    <row r="50" spans="1:16" s="70" customFormat="1" ht="66.75" customHeight="1">
      <c r="A50" s="169">
        <v>4</v>
      </c>
      <c r="B50" s="320" t="s">
        <v>165</v>
      </c>
      <c r="C50" s="182" t="s">
        <v>155</v>
      </c>
      <c r="D50" s="171" t="s">
        <v>185</v>
      </c>
      <c r="E50" s="144">
        <v>2240000</v>
      </c>
      <c r="F50" s="261">
        <v>2240000</v>
      </c>
      <c r="G50" s="275">
        <v>0</v>
      </c>
      <c r="H50" s="193">
        <v>100000</v>
      </c>
      <c r="I50" s="170"/>
      <c r="J50" s="170">
        <v>200000</v>
      </c>
      <c r="K50" s="170">
        <v>600000</v>
      </c>
      <c r="L50" s="340">
        <v>1340000</v>
      </c>
      <c r="M50" s="340"/>
      <c r="N50" s="340"/>
      <c r="O50" s="261"/>
      <c r="P50" s="261"/>
    </row>
    <row r="51" spans="1:16" s="70" customFormat="1" ht="66.75" customHeight="1">
      <c r="A51" s="169">
        <v>5</v>
      </c>
      <c r="B51" s="320" t="s">
        <v>166</v>
      </c>
      <c r="C51" s="182" t="s">
        <v>155</v>
      </c>
      <c r="D51" s="171">
        <v>2011</v>
      </c>
      <c r="E51" s="144">
        <v>200000</v>
      </c>
      <c r="F51" s="261">
        <v>200000</v>
      </c>
      <c r="G51" s="275"/>
      <c r="H51" s="193">
        <v>200000</v>
      </c>
      <c r="I51" s="170"/>
      <c r="J51" s="170"/>
      <c r="K51" s="170"/>
      <c r="L51" s="340"/>
      <c r="M51" s="340"/>
      <c r="N51" s="340"/>
      <c r="O51" s="261"/>
      <c r="P51" s="261"/>
    </row>
    <row r="52" spans="1:16" s="70" customFormat="1" ht="49.5" customHeight="1">
      <c r="A52" s="169">
        <v>6</v>
      </c>
      <c r="B52" s="172" t="s">
        <v>167</v>
      </c>
      <c r="C52" s="182" t="s">
        <v>155</v>
      </c>
      <c r="D52" s="185" t="s">
        <v>168</v>
      </c>
      <c r="E52" s="144">
        <v>2500000</v>
      </c>
      <c r="F52" s="261">
        <v>2500000</v>
      </c>
      <c r="G52" s="275"/>
      <c r="H52" s="193">
        <v>500000</v>
      </c>
      <c r="I52" s="170"/>
      <c r="J52" s="170">
        <v>500000</v>
      </c>
      <c r="K52" s="170"/>
      <c r="L52" s="340">
        <v>1000000</v>
      </c>
      <c r="M52" s="340">
        <v>500000</v>
      </c>
      <c r="N52" s="340"/>
      <c r="O52" s="261"/>
      <c r="P52" s="261"/>
    </row>
    <row r="53" spans="1:16" s="70" customFormat="1" ht="66.75" customHeight="1">
      <c r="A53" s="169">
        <v>7</v>
      </c>
      <c r="B53" s="172" t="s">
        <v>169</v>
      </c>
      <c r="C53" s="182" t="s">
        <v>155</v>
      </c>
      <c r="D53" s="185" t="s">
        <v>168</v>
      </c>
      <c r="E53" s="144">
        <v>5135000</v>
      </c>
      <c r="F53" s="261">
        <v>2650000</v>
      </c>
      <c r="G53" s="275"/>
      <c r="H53" s="193">
        <v>600000</v>
      </c>
      <c r="I53" s="170"/>
      <c r="J53" s="170"/>
      <c r="K53" s="170">
        <v>50000</v>
      </c>
      <c r="L53" s="340">
        <v>1000000</v>
      </c>
      <c r="M53" s="340">
        <v>1000000</v>
      </c>
      <c r="N53" s="340"/>
      <c r="O53" s="261"/>
      <c r="P53" s="261"/>
    </row>
    <row r="54" spans="1:16" s="70" customFormat="1" ht="37.5" customHeight="1">
      <c r="A54" s="169">
        <v>8</v>
      </c>
      <c r="B54" s="172" t="s">
        <v>170</v>
      </c>
      <c r="C54" s="182" t="s">
        <v>155</v>
      </c>
      <c r="D54" s="185" t="s">
        <v>171</v>
      </c>
      <c r="E54" s="144">
        <v>1230000</v>
      </c>
      <c r="F54" s="261">
        <v>700000</v>
      </c>
      <c r="G54" s="275"/>
      <c r="H54" s="193">
        <v>700000</v>
      </c>
      <c r="I54" s="170"/>
      <c r="J54" s="170"/>
      <c r="K54" s="170"/>
      <c r="L54" s="340"/>
      <c r="M54" s="340"/>
      <c r="N54" s="340"/>
      <c r="O54" s="261"/>
      <c r="P54" s="261"/>
    </row>
    <row r="55" spans="1:16" s="70" customFormat="1" ht="40.5" customHeight="1">
      <c r="A55" s="169">
        <v>9</v>
      </c>
      <c r="B55" s="172" t="s">
        <v>173</v>
      </c>
      <c r="C55" s="182" t="s">
        <v>155</v>
      </c>
      <c r="D55" s="171" t="s">
        <v>172</v>
      </c>
      <c r="E55" s="144">
        <v>450000</v>
      </c>
      <c r="F55" s="262">
        <v>450000</v>
      </c>
      <c r="G55" s="276"/>
      <c r="H55" s="191">
        <v>450000</v>
      </c>
      <c r="I55" s="148"/>
      <c r="J55" s="148"/>
      <c r="K55" s="148"/>
      <c r="L55" s="341"/>
      <c r="M55" s="341"/>
      <c r="N55" s="341"/>
      <c r="O55" s="262"/>
      <c r="P55" s="262"/>
    </row>
    <row r="56" spans="1:16" s="70" customFormat="1" ht="40.5" customHeight="1">
      <c r="A56" s="169">
        <v>10</v>
      </c>
      <c r="B56" s="172" t="s">
        <v>174</v>
      </c>
      <c r="C56" s="182" t="s">
        <v>155</v>
      </c>
      <c r="D56" s="171">
        <v>2015</v>
      </c>
      <c r="E56" s="144">
        <v>100000</v>
      </c>
      <c r="F56" s="321">
        <v>100000</v>
      </c>
      <c r="G56" s="276"/>
      <c r="H56" s="191"/>
      <c r="I56" s="148"/>
      <c r="J56" s="148"/>
      <c r="K56" s="148"/>
      <c r="L56" s="341">
        <v>100000</v>
      </c>
      <c r="M56" s="341"/>
      <c r="N56" s="341"/>
      <c r="O56" s="262"/>
      <c r="P56" s="262"/>
    </row>
    <row r="57" spans="1:16" s="70" customFormat="1" ht="40.5" customHeight="1">
      <c r="A57" s="169">
        <v>11</v>
      </c>
      <c r="B57" s="172" t="s">
        <v>175</v>
      </c>
      <c r="C57" s="182" t="s">
        <v>155</v>
      </c>
      <c r="D57" s="171" t="s">
        <v>176</v>
      </c>
      <c r="E57" s="144">
        <v>1750000</v>
      </c>
      <c r="F57" s="321">
        <v>1400000</v>
      </c>
      <c r="G57" s="276"/>
      <c r="H57" s="191">
        <v>1400000</v>
      </c>
      <c r="I57" s="148"/>
      <c r="J57" s="148"/>
      <c r="K57" s="148"/>
      <c r="L57" s="341"/>
      <c r="M57" s="341"/>
      <c r="N57" s="341"/>
      <c r="O57" s="262"/>
      <c r="P57" s="262"/>
    </row>
    <row r="58" spans="1:16" s="70" customFormat="1" ht="113.25" customHeight="1">
      <c r="A58" s="169">
        <v>12</v>
      </c>
      <c r="B58" s="172" t="s">
        <v>177</v>
      </c>
      <c r="C58" s="182" t="s">
        <v>155</v>
      </c>
      <c r="D58" s="171">
        <v>2011</v>
      </c>
      <c r="E58" s="144">
        <v>600000</v>
      </c>
      <c r="F58" s="321">
        <v>600000</v>
      </c>
      <c r="G58" s="276"/>
      <c r="H58" s="191">
        <v>600000</v>
      </c>
      <c r="I58" s="148"/>
      <c r="J58" s="148"/>
      <c r="K58" s="148"/>
      <c r="L58" s="341"/>
      <c r="M58" s="341"/>
      <c r="N58" s="341"/>
      <c r="O58" s="262"/>
      <c r="P58" s="262"/>
    </row>
    <row r="59" spans="1:16" s="70" customFormat="1" ht="40.5" customHeight="1">
      <c r="A59" s="169">
        <v>13</v>
      </c>
      <c r="B59" s="172" t="s">
        <v>178</v>
      </c>
      <c r="C59" s="182" t="s">
        <v>155</v>
      </c>
      <c r="D59" s="171" t="s">
        <v>163</v>
      </c>
      <c r="E59" s="144">
        <v>2490000</v>
      </c>
      <c r="F59" s="321">
        <v>2490000</v>
      </c>
      <c r="G59" s="276"/>
      <c r="H59" s="191">
        <v>830000</v>
      </c>
      <c r="I59" s="148"/>
      <c r="J59" s="148"/>
      <c r="K59" s="148"/>
      <c r="L59" s="341">
        <v>660000</v>
      </c>
      <c r="M59" s="341">
        <v>1000000</v>
      </c>
      <c r="N59" s="341"/>
      <c r="O59" s="262"/>
      <c r="P59" s="262"/>
    </row>
    <row r="60" spans="1:16" s="70" customFormat="1" ht="52.5" customHeight="1">
      <c r="A60" s="169">
        <v>14</v>
      </c>
      <c r="B60" s="172" t="s">
        <v>179</v>
      </c>
      <c r="C60" s="182" t="s">
        <v>155</v>
      </c>
      <c r="D60" s="171" t="s">
        <v>180</v>
      </c>
      <c r="E60" s="144">
        <v>82066</v>
      </c>
      <c r="F60" s="321">
        <v>32824</v>
      </c>
      <c r="G60" s="276"/>
      <c r="H60" s="191">
        <v>8206</v>
      </c>
      <c r="I60" s="148">
        <v>8206</v>
      </c>
      <c r="J60" s="148">
        <v>8206</v>
      </c>
      <c r="K60" s="148">
        <v>8206</v>
      </c>
      <c r="L60" s="341"/>
      <c r="M60" s="341"/>
      <c r="N60" s="341"/>
      <c r="O60" s="262"/>
      <c r="P60" s="262"/>
    </row>
    <row r="61" spans="1:16" s="70" customFormat="1" ht="40.5" customHeight="1">
      <c r="A61" s="169">
        <v>15</v>
      </c>
      <c r="B61" s="172" t="s">
        <v>182</v>
      </c>
      <c r="C61" s="182" t="s">
        <v>155</v>
      </c>
      <c r="D61" s="171" t="s">
        <v>181</v>
      </c>
      <c r="E61" s="144">
        <v>450000</v>
      </c>
      <c r="F61" s="321">
        <v>400000</v>
      </c>
      <c r="G61" s="276"/>
      <c r="H61" s="191">
        <v>200000</v>
      </c>
      <c r="I61" s="148">
        <v>200000</v>
      </c>
      <c r="J61" s="148"/>
      <c r="K61" s="148"/>
      <c r="L61" s="341"/>
      <c r="M61" s="341"/>
      <c r="N61" s="341"/>
      <c r="O61" s="262"/>
      <c r="P61" s="262"/>
    </row>
    <row r="62" spans="1:16" s="70" customFormat="1" ht="51.75" customHeight="1">
      <c r="A62" s="169">
        <v>16</v>
      </c>
      <c r="B62" s="172" t="s">
        <v>183</v>
      </c>
      <c r="C62" s="182" t="s">
        <v>155</v>
      </c>
      <c r="D62" s="171">
        <v>2011</v>
      </c>
      <c r="E62" s="144">
        <v>200000</v>
      </c>
      <c r="F62" s="321">
        <v>200000</v>
      </c>
      <c r="G62" s="276"/>
      <c r="H62" s="191">
        <v>200000</v>
      </c>
      <c r="I62" s="148"/>
      <c r="J62" s="148"/>
      <c r="K62" s="148"/>
      <c r="L62" s="341"/>
      <c r="M62" s="341"/>
      <c r="N62" s="341"/>
      <c r="O62" s="262"/>
      <c r="P62" s="262"/>
    </row>
    <row r="63" spans="1:16" s="70" customFormat="1" ht="90.75" customHeight="1">
      <c r="A63" s="169">
        <v>17</v>
      </c>
      <c r="B63" s="172" t="s">
        <v>184</v>
      </c>
      <c r="C63" s="182" t="s">
        <v>155</v>
      </c>
      <c r="D63" s="171" t="s">
        <v>185</v>
      </c>
      <c r="E63" s="144">
        <v>1439338</v>
      </c>
      <c r="F63" s="321">
        <v>1439338</v>
      </c>
      <c r="G63" s="276"/>
      <c r="H63" s="191">
        <v>500000</v>
      </c>
      <c r="I63" s="148">
        <v>50000</v>
      </c>
      <c r="J63" s="148">
        <v>89338</v>
      </c>
      <c r="K63" s="148">
        <v>200000</v>
      </c>
      <c r="L63" s="341">
        <v>600000</v>
      </c>
      <c r="M63" s="341"/>
      <c r="N63" s="341"/>
      <c r="O63" s="262"/>
      <c r="P63" s="262"/>
    </row>
    <row r="64" spans="1:16" s="70" customFormat="1" ht="54" customHeight="1" hidden="1">
      <c r="A64" s="169">
        <v>18</v>
      </c>
      <c r="B64" s="172"/>
      <c r="C64" s="182"/>
      <c r="D64" s="171"/>
      <c r="E64" s="144"/>
      <c r="F64" s="321"/>
      <c r="G64" s="276"/>
      <c r="H64" s="191"/>
      <c r="I64" s="148"/>
      <c r="J64" s="148"/>
      <c r="K64" s="148"/>
      <c r="L64" s="341"/>
      <c r="M64" s="341"/>
      <c r="N64" s="341"/>
      <c r="O64" s="262"/>
      <c r="P64" s="262"/>
    </row>
    <row r="65" spans="1:16" s="70" customFormat="1" ht="40.5" customHeight="1" hidden="1">
      <c r="A65" s="169">
        <v>19</v>
      </c>
      <c r="B65" s="172"/>
      <c r="C65" s="182"/>
      <c r="D65" s="171"/>
      <c r="E65" s="144"/>
      <c r="F65" s="321"/>
      <c r="G65" s="276"/>
      <c r="H65" s="191"/>
      <c r="I65" s="148"/>
      <c r="J65" s="148"/>
      <c r="K65" s="148"/>
      <c r="L65" s="341"/>
      <c r="M65" s="341"/>
      <c r="N65" s="341"/>
      <c r="O65" s="262"/>
      <c r="P65" s="262"/>
    </row>
    <row r="66" spans="1:16" s="70" customFormat="1" ht="53.25" customHeight="1">
      <c r="A66" s="169">
        <v>20</v>
      </c>
      <c r="B66" s="172" t="s">
        <v>187</v>
      </c>
      <c r="C66" s="182" t="s">
        <v>155</v>
      </c>
      <c r="D66" s="171" t="s">
        <v>188</v>
      </c>
      <c r="E66" s="144">
        <v>1518400</v>
      </c>
      <c r="F66" s="321">
        <v>510000</v>
      </c>
      <c r="G66" s="276"/>
      <c r="H66" s="191">
        <v>510000</v>
      </c>
      <c r="I66" s="148"/>
      <c r="J66" s="148"/>
      <c r="K66" s="148"/>
      <c r="L66" s="341"/>
      <c r="M66" s="341"/>
      <c r="N66" s="341"/>
      <c r="O66" s="262"/>
      <c r="P66" s="262"/>
    </row>
    <row r="67" spans="1:16" s="70" customFormat="1" ht="12" customHeight="1" hidden="1">
      <c r="A67" s="169">
        <v>21</v>
      </c>
      <c r="B67" s="172"/>
      <c r="C67" s="182"/>
      <c r="D67" s="171"/>
      <c r="E67" s="144"/>
      <c r="F67" s="321"/>
      <c r="G67" s="276"/>
      <c r="H67" s="191"/>
      <c r="I67" s="148"/>
      <c r="J67" s="148"/>
      <c r="K67" s="148"/>
      <c r="L67" s="341"/>
      <c r="M67" s="341"/>
      <c r="N67" s="341"/>
      <c r="O67" s="262"/>
      <c r="P67" s="262"/>
    </row>
    <row r="68" spans="1:16" s="70" customFormat="1" ht="9" customHeight="1" hidden="1">
      <c r="A68" s="169">
        <v>22</v>
      </c>
      <c r="B68" s="172"/>
      <c r="C68" s="182"/>
      <c r="D68" s="171"/>
      <c r="E68" s="144"/>
      <c r="F68" s="321"/>
      <c r="G68" s="276"/>
      <c r="H68" s="191"/>
      <c r="I68" s="148"/>
      <c r="J68" s="148"/>
      <c r="K68" s="148"/>
      <c r="L68" s="341"/>
      <c r="M68" s="341"/>
      <c r="N68" s="341"/>
      <c r="O68" s="262"/>
      <c r="P68" s="262"/>
    </row>
    <row r="69" spans="1:16" s="70" customFormat="1" ht="13.5" customHeight="1" hidden="1">
      <c r="A69" s="169">
        <v>23</v>
      </c>
      <c r="B69" s="172"/>
      <c r="C69" s="182"/>
      <c r="D69" s="171"/>
      <c r="E69" s="144"/>
      <c r="F69" s="321"/>
      <c r="G69" s="276"/>
      <c r="H69" s="191"/>
      <c r="I69" s="148"/>
      <c r="J69" s="148"/>
      <c r="K69" s="148"/>
      <c r="L69" s="341"/>
      <c r="M69" s="341"/>
      <c r="N69" s="341"/>
      <c r="O69" s="262"/>
      <c r="P69" s="262"/>
    </row>
    <row r="70" spans="1:16" s="70" customFormat="1" ht="16.5" customHeight="1" hidden="1">
      <c r="A70" s="169">
        <v>24</v>
      </c>
      <c r="B70" s="172"/>
      <c r="C70" s="182"/>
      <c r="D70" s="171"/>
      <c r="E70" s="144"/>
      <c r="F70" s="321"/>
      <c r="G70" s="276"/>
      <c r="H70" s="191"/>
      <c r="I70" s="148"/>
      <c r="J70" s="148"/>
      <c r="K70" s="148"/>
      <c r="L70" s="341"/>
      <c r="M70" s="341"/>
      <c r="N70" s="341"/>
      <c r="O70" s="262"/>
      <c r="P70" s="262"/>
    </row>
    <row r="71" spans="1:16" s="70" customFormat="1" ht="15.75" customHeight="1" hidden="1">
      <c r="A71" s="169">
        <v>25</v>
      </c>
      <c r="B71" s="172"/>
      <c r="C71" s="182"/>
      <c r="D71" s="171"/>
      <c r="E71" s="144"/>
      <c r="F71" s="321"/>
      <c r="G71" s="276"/>
      <c r="H71" s="191"/>
      <c r="I71" s="148"/>
      <c r="J71" s="148"/>
      <c r="K71" s="148"/>
      <c r="L71" s="341"/>
      <c r="M71" s="341"/>
      <c r="N71" s="341"/>
      <c r="O71" s="262"/>
      <c r="P71" s="262"/>
    </row>
    <row r="72" spans="1:16" ht="12.75" hidden="1">
      <c r="A72" s="169">
        <v>26</v>
      </c>
      <c r="F72" s="264"/>
      <c r="G72" s="278"/>
      <c r="H72" s="279"/>
      <c r="I72" s="280"/>
      <c r="J72" s="280"/>
      <c r="K72" s="280"/>
      <c r="L72" s="280"/>
      <c r="M72" s="280"/>
      <c r="N72" s="280"/>
      <c r="O72" s="344"/>
      <c r="P72" s="344"/>
    </row>
    <row r="73" spans="1:16" ht="39" customHeight="1">
      <c r="A73" s="71" t="s">
        <v>64</v>
      </c>
      <c r="B73" s="390" t="s">
        <v>116</v>
      </c>
      <c r="C73" s="390"/>
      <c r="D73" s="390"/>
      <c r="E73" s="61">
        <f aca="true" t="shared" si="10" ref="E73:K73">SUM(E74:E76)</f>
        <v>0</v>
      </c>
      <c r="F73" s="263">
        <f t="shared" si="10"/>
        <v>0</v>
      </c>
      <c r="G73" s="277">
        <f t="shared" si="10"/>
        <v>0</v>
      </c>
      <c r="H73" s="140">
        <f t="shared" si="10"/>
        <v>0</v>
      </c>
      <c r="I73" s="140">
        <f t="shared" si="10"/>
        <v>0</v>
      </c>
      <c r="J73" s="140">
        <f t="shared" si="10"/>
        <v>0</v>
      </c>
      <c r="K73" s="140">
        <f t="shared" si="10"/>
        <v>0</v>
      </c>
      <c r="L73" s="342">
        <f>SUM(L74:L76)</f>
        <v>0</v>
      </c>
      <c r="M73" s="342">
        <f>SUM(M74:M76)</f>
        <v>0</v>
      </c>
      <c r="N73" s="342">
        <f>SUM(N74:N76)</f>
        <v>0</v>
      </c>
      <c r="O73" s="263">
        <f>SUM(O74:O76)</f>
        <v>0</v>
      </c>
      <c r="P73" s="263">
        <f>SUM(P74:P76)</f>
        <v>0</v>
      </c>
    </row>
    <row r="74" spans="1:16" ht="11.25" customHeight="1">
      <c r="A74" s="176"/>
      <c r="B74" s="180"/>
      <c r="C74" s="181"/>
      <c r="D74" s="181"/>
      <c r="E74" s="148"/>
      <c r="F74" s="257">
        <f>SUM(G74:O74)</f>
        <v>0</v>
      </c>
      <c r="G74" s="272"/>
      <c r="H74" s="192"/>
      <c r="I74" s="146"/>
      <c r="J74" s="146"/>
      <c r="K74" s="146"/>
      <c r="L74" s="337"/>
      <c r="M74" s="337"/>
      <c r="N74" s="337"/>
      <c r="O74" s="257"/>
      <c r="P74" s="257"/>
    </row>
    <row r="75" spans="1:16" ht="11.25" customHeight="1">
      <c r="A75" s="176"/>
      <c r="B75" s="180"/>
      <c r="C75" s="181"/>
      <c r="D75" s="181"/>
      <c r="E75" s="148"/>
      <c r="F75" s="257">
        <f>SUM(G75:O75)</f>
        <v>0</v>
      </c>
      <c r="G75" s="272"/>
      <c r="H75" s="192"/>
      <c r="I75" s="146"/>
      <c r="J75" s="146"/>
      <c r="K75" s="146"/>
      <c r="L75" s="337"/>
      <c r="M75" s="337"/>
      <c r="N75" s="337"/>
      <c r="O75" s="257"/>
      <c r="P75" s="257"/>
    </row>
    <row r="76" spans="1:16" ht="11.25" customHeight="1">
      <c r="A76" s="176"/>
      <c r="B76" s="180"/>
      <c r="C76" s="181"/>
      <c r="D76" s="181"/>
      <c r="E76" s="148"/>
      <c r="F76" s="257">
        <f>SUM(G76:O76)</f>
        <v>0</v>
      </c>
      <c r="G76" s="272"/>
      <c r="H76" s="192"/>
      <c r="I76" s="146"/>
      <c r="J76" s="146"/>
      <c r="K76" s="146"/>
      <c r="L76" s="337"/>
      <c r="M76" s="337"/>
      <c r="N76" s="337"/>
      <c r="O76" s="257"/>
      <c r="P76" s="257"/>
    </row>
    <row r="77" spans="1:16" s="73" customFormat="1" ht="22.5" customHeight="1">
      <c r="A77" s="72" t="s">
        <v>68</v>
      </c>
      <c r="B77" s="396" t="s">
        <v>69</v>
      </c>
      <c r="C77" s="396"/>
      <c r="D77" s="396"/>
      <c r="E77" s="164">
        <f aca="true" t="shared" si="11" ref="E77:K77">E38+E9</f>
        <v>51957212</v>
      </c>
      <c r="F77" s="265">
        <f>F38+F9</f>
        <v>37555471</v>
      </c>
      <c r="G77" s="281">
        <f t="shared" si="11"/>
        <v>0</v>
      </c>
      <c r="H77" s="194">
        <f t="shared" si="11"/>
        <v>14453009</v>
      </c>
      <c r="I77" s="141">
        <f t="shared" si="11"/>
        <v>2773726</v>
      </c>
      <c r="J77" s="141">
        <f t="shared" si="11"/>
        <v>3852582</v>
      </c>
      <c r="K77" s="141">
        <f t="shared" si="11"/>
        <v>5062761</v>
      </c>
      <c r="L77" s="343">
        <f>L38+L9</f>
        <v>7454072</v>
      </c>
      <c r="M77" s="343">
        <f>M38+M9</f>
        <v>3853590</v>
      </c>
      <c r="N77" s="343">
        <f>N38+N9</f>
        <v>53107</v>
      </c>
      <c r="O77" s="265">
        <f>O38+O9</f>
        <v>52624</v>
      </c>
      <c r="P77" s="265">
        <f>P38+P9</f>
        <v>52142</v>
      </c>
    </row>
    <row r="78" spans="1:16" ht="12.75">
      <c r="A78" s="394"/>
      <c r="B78" s="394"/>
      <c r="C78" s="394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189">
        <f>SUM(G77:O77)</f>
        <v>37555471</v>
      </c>
    </row>
    <row r="88" spans="2:6" ht="12.75">
      <c r="B88" s="59"/>
      <c r="C88" s="59"/>
      <c r="D88" s="59"/>
      <c r="E88" s="59"/>
      <c r="F88" s="59"/>
    </row>
    <row r="89" spans="2:6" ht="12.75">
      <c r="B89" s="75"/>
      <c r="C89" s="59"/>
      <c r="D89" s="59"/>
      <c r="E89" s="59"/>
      <c r="F89" s="59"/>
    </row>
  </sheetData>
  <mergeCells count="14">
    <mergeCell ref="A8:E8"/>
    <mergeCell ref="A2:J2"/>
    <mergeCell ref="B10:D10"/>
    <mergeCell ref="G6:P6"/>
    <mergeCell ref="B17:D17"/>
    <mergeCell ref="B9:D9"/>
    <mergeCell ref="A78:O78"/>
    <mergeCell ref="B73:D73"/>
    <mergeCell ref="B77:D77"/>
    <mergeCell ref="B24:D24"/>
    <mergeCell ref="B31:D31"/>
    <mergeCell ref="B38:D38"/>
    <mergeCell ref="B39:D39"/>
    <mergeCell ref="B46:D46"/>
  </mergeCells>
  <printOptions/>
  <pageMargins left="0.3" right="0.4" top="0.37" bottom="0.3" header="0.22" footer="0.18"/>
  <pageSetup horizontalDpi="600" verticalDpi="600" orientation="landscape" paperSize="9" scale="71" r:id="rId1"/>
  <headerFooter alignWithMargins="0">
    <oddFooter>&amp;LWykaz przedsięwzięć do WPF załacznik nr 2 projekt1&amp;R&amp;P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Y39"/>
  <sheetViews>
    <sheetView workbookViewId="0" topLeftCell="B11">
      <pane xSplit="1" topLeftCell="C2" activePane="topRight" state="frozen"/>
      <selection pane="topLeft" activeCell="B1" sqref="B1"/>
      <selection pane="topRight" activeCell="H38" sqref="H38"/>
    </sheetView>
  </sheetViews>
  <sheetFormatPr defaultColWidth="9.00390625" defaultRowHeight="12.75"/>
  <cols>
    <col min="1" max="1" width="5.625" style="0" customWidth="1"/>
    <col min="2" max="2" width="6.375" style="0" customWidth="1"/>
    <col min="3" max="3" width="10.25390625" style="0" customWidth="1"/>
    <col min="4" max="4" width="9.25390625" style="0" customWidth="1"/>
    <col min="5" max="5" width="10.125" style="0" bestFit="1" customWidth="1"/>
    <col min="6" max="6" width="6.875" style="0" customWidth="1"/>
    <col min="7" max="7" width="10.75390625" style="0" customWidth="1"/>
    <col min="8" max="8" width="8.625" style="0" customWidth="1"/>
    <col min="9" max="9" width="10.625" style="0" customWidth="1"/>
    <col min="10" max="10" width="10.25390625" style="0" customWidth="1"/>
    <col min="11" max="11" width="10.375" style="0" customWidth="1"/>
    <col min="12" max="20" width="8.75390625" style="0" customWidth="1"/>
    <col min="21" max="21" width="8.00390625" style="0" customWidth="1"/>
    <col min="23" max="23" width="8.125" style="0" customWidth="1"/>
    <col min="25" max="25" width="11.25390625" style="0" customWidth="1"/>
  </cols>
  <sheetData>
    <row r="2" ht="12.75">
      <c r="B2" t="s">
        <v>197</v>
      </c>
    </row>
    <row r="3" ht="13.5" thickBot="1">
      <c r="A3" s="196"/>
    </row>
    <row r="4" spans="1:25" ht="64.5" thickBot="1">
      <c r="A4" s="197" t="s">
        <v>118</v>
      </c>
      <c r="B4" s="198" t="s">
        <v>119</v>
      </c>
      <c r="C4" s="199" t="s">
        <v>120</v>
      </c>
      <c r="D4" s="199" t="s">
        <v>121</v>
      </c>
      <c r="E4" s="199" t="s">
        <v>122</v>
      </c>
      <c r="F4" s="199" t="s">
        <v>123</v>
      </c>
      <c r="G4" s="199" t="s">
        <v>124</v>
      </c>
      <c r="H4" s="199" t="s">
        <v>125</v>
      </c>
      <c r="I4" s="199" t="s">
        <v>126</v>
      </c>
      <c r="J4" s="199" t="s">
        <v>127</v>
      </c>
      <c r="K4" s="200" t="s">
        <v>128</v>
      </c>
      <c r="L4" s="201" t="s">
        <v>129</v>
      </c>
      <c r="M4" s="201" t="s">
        <v>130</v>
      </c>
      <c r="N4" s="201" t="s">
        <v>131</v>
      </c>
      <c r="O4" s="201" t="s">
        <v>132</v>
      </c>
      <c r="P4" s="202" t="s">
        <v>133</v>
      </c>
      <c r="Q4" s="201" t="s">
        <v>134</v>
      </c>
      <c r="R4" s="201" t="s">
        <v>135</v>
      </c>
      <c r="S4" s="201" t="s">
        <v>136</v>
      </c>
      <c r="T4" s="201" t="s">
        <v>137</v>
      </c>
      <c r="U4" s="201" t="s">
        <v>138</v>
      </c>
      <c r="V4" s="203" t="s">
        <v>139</v>
      </c>
      <c r="W4" s="204" t="s">
        <v>140</v>
      </c>
      <c r="X4" s="205" t="s">
        <v>141</v>
      </c>
      <c r="Y4" s="206" t="s">
        <v>142</v>
      </c>
    </row>
    <row r="5" spans="2:25" s="207" customFormat="1" ht="12.75">
      <c r="B5" s="208"/>
      <c r="C5" s="209"/>
      <c r="D5" s="209"/>
      <c r="E5" s="209"/>
      <c r="F5" s="209"/>
      <c r="G5" s="209"/>
      <c r="H5" s="209"/>
      <c r="I5" s="209"/>
      <c r="J5" s="209"/>
      <c r="K5" s="210"/>
      <c r="L5" s="209"/>
      <c r="M5" s="209"/>
      <c r="N5" s="209"/>
      <c r="O5" s="209"/>
      <c r="P5" s="209"/>
      <c r="Q5" s="209"/>
      <c r="R5" s="209"/>
      <c r="S5" s="211"/>
      <c r="T5" s="211"/>
      <c r="U5" s="209"/>
      <c r="V5" s="211"/>
      <c r="W5" s="211"/>
      <c r="X5" s="212"/>
      <c r="Y5" s="213"/>
    </row>
    <row r="6" spans="1:25" s="214" customFormat="1" ht="12.75">
      <c r="A6" s="214">
        <v>1</v>
      </c>
      <c r="B6" s="215">
        <v>2011</v>
      </c>
      <c r="C6" s="216">
        <v>9419432</v>
      </c>
      <c r="D6" s="216"/>
      <c r="E6" s="216">
        <v>9419432</v>
      </c>
      <c r="F6" s="216"/>
      <c r="G6" s="216">
        <f>E6-F6</f>
        <v>9419432</v>
      </c>
      <c r="H6" s="216">
        <v>0</v>
      </c>
      <c r="I6" s="216">
        <v>19395332</v>
      </c>
      <c r="J6" s="216">
        <v>2108900</v>
      </c>
      <c r="K6" s="217">
        <f>SUM(I6-J6)</f>
        <v>17286432</v>
      </c>
      <c r="L6" s="216">
        <f>ROUND(C6*5.5*31/36500,0)</f>
        <v>44000</v>
      </c>
      <c r="M6" s="216">
        <f>ROUND(C6*5.5*28/36500,0)</f>
        <v>39742</v>
      </c>
      <c r="N6" s="216">
        <f>ROUND(C6*5.5*31/36500,0)</f>
        <v>44000</v>
      </c>
      <c r="O6" s="216">
        <f>ROUND(C6*5.5*30/36500,0)</f>
        <v>42581</v>
      </c>
      <c r="P6" s="216">
        <f>ROUND(C6*5.5*31/36500,0)</f>
        <v>44000</v>
      </c>
      <c r="Q6" s="216">
        <f>ROUND(C6*5.5*30/36500,0)</f>
        <v>42581</v>
      </c>
      <c r="R6" s="216">
        <f>ROUND(E6*5.5*31/36500,0)</f>
        <v>44000</v>
      </c>
      <c r="S6" s="218">
        <f>ROUND(E6*5.5*31/36500,0)</f>
        <v>44000</v>
      </c>
      <c r="T6" s="218">
        <f>ROUND(I6*5.5*30/36500,0)</f>
        <v>87678</v>
      </c>
      <c r="U6" s="216">
        <f>ROUND(I6*5.5*31/36500,0)</f>
        <v>90600</v>
      </c>
      <c r="V6" s="218">
        <f>ROUND(I6*5.5*30/36500,0)</f>
        <v>87678</v>
      </c>
      <c r="W6" s="218">
        <f>ROUND(I6*5.5*31/36500,0)</f>
        <v>90600</v>
      </c>
      <c r="X6" s="219">
        <f aca="true" t="shared" si="0" ref="X6:X21">SUM(L6:W6)</f>
        <v>701460</v>
      </c>
      <c r="Y6" s="220">
        <f aca="true" t="shared" si="1" ref="Y6:Y21">X6+D6+F6+H6+J6</f>
        <v>2810360</v>
      </c>
    </row>
    <row r="7" spans="1:25" s="214" customFormat="1" ht="12.75">
      <c r="A7" s="214">
        <v>2</v>
      </c>
      <c r="B7" s="215">
        <v>2012</v>
      </c>
      <c r="C7" s="216">
        <f aca="true" t="shared" si="2" ref="C7:C21">SUM(K6)</f>
        <v>17286432</v>
      </c>
      <c r="D7" s="216"/>
      <c r="E7" s="216">
        <v>17286432</v>
      </c>
      <c r="F7" s="216"/>
      <c r="G7" s="216">
        <f aca="true" t="shared" si="3" ref="G7:G23">E7-F7</f>
        <v>17286432</v>
      </c>
      <c r="H7" s="216"/>
      <c r="I7" s="216">
        <f aca="true" t="shared" si="4" ref="I7:I23">SUM(G7-H7)</f>
        <v>17286432</v>
      </c>
      <c r="J7" s="216">
        <v>1986794</v>
      </c>
      <c r="K7" s="217">
        <f aca="true" t="shared" si="5" ref="K7:K23">SUM(I7-J7)</f>
        <v>15299638</v>
      </c>
      <c r="L7" s="216">
        <f aca="true" t="shared" si="6" ref="L7:L23">ROUND(C7*5.5*31/36500,0)</f>
        <v>80749</v>
      </c>
      <c r="M7" s="216">
        <f aca="true" t="shared" si="7" ref="M7:M23">ROUND(C7*5.5*28/36500,0)</f>
        <v>72935</v>
      </c>
      <c r="N7" s="216">
        <f aca="true" t="shared" si="8" ref="N7:N23">ROUND(C7*5.5*31/36500,0)</f>
        <v>80749</v>
      </c>
      <c r="O7" s="216">
        <f aca="true" t="shared" si="9" ref="O7:O24">ROUND(C7*5.5*30/36500,0)</f>
        <v>78144</v>
      </c>
      <c r="P7" s="216">
        <f aca="true" t="shared" si="10" ref="P7:P24">ROUND(C7*5.5*31/36500,0)</f>
        <v>80749</v>
      </c>
      <c r="Q7" s="216">
        <f aca="true" t="shared" si="11" ref="Q7:Q24">ROUND(C7*5.5*30/36500,0)</f>
        <v>78144</v>
      </c>
      <c r="R7" s="216">
        <f aca="true" t="shared" si="12" ref="R7:R24">ROUND(E7*5.5*31/36500,0)</f>
        <v>80749</v>
      </c>
      <c r="S7" s="218">
        <f aca="true" t="shared" si="13" ref="S7:S24">ROUND(E7*5.5*31/36500,0)</f>
        <v>80749</v>
      </c>
      <c r="T7" s="218">
        <f aca="true" t="shared" si="14" ref="T7:T24">ROUND(I7*5.5*30/36500,0)</f>
        <v>78144</v>
      </c>
      <c r="U7" s="216">
        <f aca="true" t="shared" si="15" ref="U7:U23">ROUND(I7*5.5*31/36500,0)</f>
        <v>80749</v>
      </c>
      <c r="V7" s="218">
        <f aca="true" t="shared" si="16" ref="V7:V24">ROUND(I7*5.5*30/36500,0)</f>
        <v>78144</v>
      </c>
      <c r="W7" s="218">
        <f aca="true" t="shared" si="17" ref="W7:W24">ROUND(I7*5.5*31/36500,0)</f>
        <v>80749</v>
      </c>
      <c r="X7" s="219">
        <f t="shared" si="0"/>
        <v>950754</v>
      </c>
      <c r="Y7" s="220">
        <f t="shared" si="1"/>
        <v>2937548</v>
      </c>
    </row>
    <row r="8" spans="1:25" s="214" customFormat="1" ht="12.75">
      <c r="A8" s="214">
        <v>3</v>
      </c>
      <c r="B8" s="215">
        <v>2013</v>
      </c>
      <c r="C8" s="216">
        <f t="shared" si="2"/>
        <v>15299638</v>
      </c>
      <c r="D8" s="216"/>
      <c r="E8" s="216">
        <v>15942182</v>
      </c>
      <c r="F8" s="216"/>
      <c r="G8" s="216">
        <f t="shared" si="3"/>
        <v>15942182</v>
      </c>
      <c r="H8" s="216"/>
      <c r="I8" s="216">
        <f>SUM(G8-H8)</f>
        <v>15942182</v>
      </c>
      <c r="J8" s="216">
        <v>2265000</v>
      </c>
      <c r="K8" s="217">
        <f t="shared" si="5"/>
        <v>13677182</v>
      </c>
      <c r="L8" s="216">
        <f t="shared" si="6"/>
        <v>71468</v>
      </c>
      <c r="M8" s="216">
        <f t="shared" si="7"/>
        <v>64552</v>
      </c>
      <c r="N8" s="216">
        <f t="shared" si="8"/>
        <v>71468</v>
      </c>
      <c r="O8" s="216">
        <f t="shared" si="9"/>
        <v>69163</v>
      </c>
      <c r="P8" s="216">
        <f t="shared" si="10"/>
        <v>71468</v>
      </c>
      <c r="Q8" s="216">
        <f t="shared" si="11"/>
        <v>69163</v>
      </c>
      <c r="R8" s="216">
        <f t="shared" si="12"/>
        <v>74470</v>
      </c>
      <c r="S8" s="218">
        <f t="shared" si="13"/>
        <v>74470</v>
      </c>
      <c r="T8" s="218">
        <f t="shared" si="14"/>
        <v>72067</v>
      </c>
      <c r="U8" s="216">
        <f t="shared" si="15"/>
        <v>74470</v>
      </c>
      <c r="V8" s="218">
        <f t="shared" si="16"/>
        <v>72067</v>
      </c>
      <c r="W8" s="218">
        <f t="shared" si="17"/>
        <v>74470</v>
      </c>
      <c r="X8" s="219">
        <f t="shared" si="0"/>
        <v>859296</v>
      </c>
      <c r="Y8" s="220">
        <f t="shared" si="1"/>
        <v>3124296</v>
      </c>
    </row>
    <row r="9" spans="1:25" s="214" customFormat="1" ht="12.75">
      <c r="A9" s="214">
        <v>4</v>
      </c>
      <c r="B9" s="215">
        <v>2014</v>
      </c>
      <c r="C9" s="216">
        <f t="shared" si="2"/>
        <v>13677182</v>
      </c>
      <c r="D9" s="216"/>
      <c r="E9" s="216">
        <v>14948932</v>
      </c>
      <c r="F9" s="216"/>
      <c r="G9" s="216">
        <f t="shared" si="3"/>
        <v>14948932</v>
      </c>
      <c r="H9" s="216"/>
      <c r="I9" s="216">
        <f>SUM(G9-H9)</f>
        <v>14948932</v>
      </c>
      <c r="J9" s="216">
        <v>1841544</v>
      </c>
      <c r="K9" s="217">
        <f t="shared" si="5"/>
        <v>13107388</v>
      </c>
      <c r="L9" s="216">
        <f t="shared" si="6"/>
        <v>63889</v>
      </c>
      <c r="M9" s="216">
        <f t="shared" si="7"/>
        <v>57706</v>
      </c>
      <c r="N9" s="216">
        <f t="shared" si="8"/>
        <v>63889</v>
      </c>
      <c r="O9" s="216">
        <f t="shared" si="9"/>
        <v>61828</v>
      </c>
      <c r="P9" s="216">
        <f t="shared" si="10"/>
        <v>63889</v>
      </c>
      <c r="Q9" s="216">
        <f t="shared" si="11"/>
        <v>61828</v>
      </c>
      <c r="R9" s="216">
        <f t="shared" si="12"/>
        <v>69830</v>
      </c>
      <c r="S9" s="218">
        <f t="shared" si="13"/>
        <v>69830</v>
      </c>
      <c r="T9" s="218">
        <f t="shared" si="14"/>
        <v>67577</v>
      </c>
      <c r="U9" s="216">
        <f t="shared" si="15"/>
        <v>69830</v>
      </c>
      <c r="V9" s="218">
        <f t="shared" si="16"/>
        <v>67577</v>
      </c>
      <c r="W9" s="218">
        <f t="shared" si="17"/>
        <v>69830</v>
      </c>
      <c r="X9" s="219">
        <f t="shared" si="0"/>
        <v>787503</v>
      </c>
      <c r="Y9" s="220">
        <f t="shared" si="1"/>
        <v>2629047</v>
      </c>
    </row>
    <row r="10" spans="1:25" s="214" customFormat="1" ht="12.75">
      <c r="A10" s="214">
        <v>5</v>
      </c>
      <c r="B10" s="215">
        <v>2015</v>
      </c>
      <c r="C10" s="216">
        <f t="shared" si="2"/>
        <v>13107388</v>
      </c>
      <c r="D10" s="216"/>
      <c r="E10" s="216">
        <v>15779388</v>
      </c>
      <c r="F10" s="216"/>
      <c r="G10" s="216">
        <f t="shared" si="3"/>
        <v>15779388</v>
      </c>
      <c r="H10" s="216"/>
      <c r="I10" s="216">
        <f t="shared" si="4"/>
        <v>15779388</v>
      </c>
      <c r="J10" s="216">
        <v>1500000</v>
      </c>
      <c r="K10" s="217">
        <f t="shared" si="5"/>
        <v>14279388</v>
      </c>
      <c r="L10" s="216">
        <f t="shared" si="6"/>
        <v>61228</v>
      </c>
      <c r="M10" s="216">
        <f t="shared" si="7"/>
        <v>55302</v>
      </c>
      <c r="N10" s="216">
        <f t="shared" si="8"/>
        <v>61228</v>
      </c>
      <c r="O10" s="216">
        <f t="shared" si="9"/>
        <v>59253</v>
      </c>
      <c r="P10" s="216">
        <f t="shared" si="10"/>
        <v>61228</v>
      </c>
      <c r="Q10" s="216">
        <f t="shared" si="11"/>
        <v>59253</v>
      </c>
      <c r="R10" s="216">
        <f t="shared" si="12"/>
        <v>73709</v>
      </c>
      <c r="S10" s="218">
        <f t="shared" si="13"/>
        <v>73709</v>
      </c>
      <c r="T10" s="218">
        <f t="shared" si="14"/>
        <v>71331</v>
      </c>
      <c r="U10" s="216">
        <f t="shared" si="15"/>
        <v>73709</v>
      </c>
      <c r="V10" s="218">
        <f t="shared" si="16"/>
        <v>71331</v>
      </c>
      <c r="W10" s="218">
        <f t="shared" si="17"/>
        <v>73709</v>
      </c>
      <c r="X10" s="219">
        <f t="shared" si="0"/>
        <v>794990</v>
      </c>
      <c r="Y10" s="220">
        <f t="shared" si="1"/>
        <v>2294990</v>
      </c>
    </row>
    <row r="11" spans="1:25" s="214" customFormat="1" ht="12.75">
      <c r="A11" s="214">
        <v>6</v>
      </c>
      <c r="B11" s="215">
        <v>2016</v>
      </c>
      <c r="C11" s="216">
        <f t="shared" si="2"/>
        <v>14279388</v>
      </c>
      <c r="D11" s="216"/>
      <c r="E11" s="216">
        <v>18079388</v>
      </c>
      <c r="F11" s="216"/>
      <c r="G11" s="216">
        <f t="shared" si="3"/>
        <v>18079388</v>
      </c>
      <c r="H11" s="216"/>
      <c r="I11" s="216">
        <f t="shared" si="4"/>
        <v>18079388</v>
      </c>
      <c r="J11" s="216">
        <v>3500000</v>
      </c>
      <c r="K11" s="217">
        <f t="shared" si="5"/>
        <v>14579388</v>
      </c>
      <c r="L11" s="216">
        <f t="shared" si="6"/>
        <v>66702</v>
      </c>
      <c r="M11" s="216">
        <f t="shared" si="7"/>
        <v>60247</v>
      </c>
      <c r="N11" s="216">
        <f t="shared" si="8"/>
        <v>66702</v>
      </c>
      <c r="O11" s="216">
        <f t="shared" si="9"/>
        <v>64551</v>
      </c>
      <c r="P11" s="216">
        <f t="shared" si="10"/>
        <v>66702</v>
      </c>
      <c r="Q11" s="216">
        <f t="shared" si="11"/>
        <v>64551</v>
      </c>
      <c r="R11" s="216">
        <f t="shared" si="12"/>
        <v>84453</v>
      </c>
      <c r="S11" s="218">
        <f t="shared" si="13"/>
        <v>84453</v>
      </c>
      <c r="T11" s="218">
        <f t="shared" si="14"/>
        <v>81729</v>
      </c>
      <c r="U11" s="216">
        <f t="shared" si="15"/>
        <v>84453</v>
      </c>
      <c r="V11" s="218">
        <f t="shared" si="16"/>
        <v>81729</v>
      </c>
      <c r="W11" s="218">
        <f t="shared" si="17"/>
        <v>84453</v>
      </c>
      <c r="X11" s="219">
        <f t="shared" si="0"/>
        <v>890725</v>
      </c>
      <c r="Y11" s="220">
        <f t="shared" si="1"/>
        <v>4390725</v>
      </c>
    </row>
    <row r="12" spans="1:25" s="214" customFormat="1" ht="12.75">
      <c r="A12" s="214">
        <v>7</v>
      </c>
      <c r="B12" s="215">
        <v>2017</v>
      </c>
      <c r="C12" s="216">
        <f t="shared" si="2"/>
        <v>14579388</v>
      </c>
      <c r="D12" s="216"/>
      <c r="E12" s="216">
        <f aca="true" t="shared" si="18" ref="E12:E23">C12-D12</f>
        <v>14579388</v>
      </c>
      <c r="F12" s="216"/>
      <c r="G12" s="216">
        <f t="shared" si="3"/>
        <v>14579388</v>
      </c>
      <c r="H12" s="216"/>
      <c r="I12" s="216">
        <f t="shared" si="4"/>
        <v>14579388</v>
      </c>
      <c r="J12" s="216">
        <v>4070888</v>
      </c>
      <c r="K12" s="217">
        <f t="shared" si="5"/>
        <v>10508500</v>
      </c>
      <c r="L12" s="216">
        <f t="shared" si="6"/>
        <v>68104</v>
      </c>
      <c r="M12" s="216">
        <f t="shared" si="7"/>
        <v>61513</v>
      </c>
      <c r="N12" s="216">
        <f t="shared" si="8"/>
        <v>68104</v>
      </c>
      <c r="O12" s="216">
        <f t="shared" si="9"/>
        <v>65907</v>
      </c>
      <c r="P12" s="216">
        <f t="shared" si="10"/>
        <v>68104</v>
      </c>
      <c r="Q12" s="216">
        <f t="shared" si="11"/>
        <v>65907</v>
      </c>
      <c r="R12" s="216">
        <f t="shared" si="12"/>
        <v>68104</v>
      </c>
      <c r="S12" s="218">
        <f t="shared" si="13"/>
        <v>68104</v>
      </c>
      <c r="T12" s="218">
        <f t="shared" si="14"/>
        <v>65907</v>
      </c>
      <c r="U12" s="216">
        <f t="shared" si="15"/>
        <v>68104</v>
      </c>
      <c r="V12" s="218">
        <f t="shared" si="16"/>
        <v>65907</v>
      </c>
      <c r="W12" s="218">
        <f t="shared" si="17"/>
        <v>68104</v>
      </c>
      <c r="X12" s="219">
        <f t="shared" si="0"/>
        <v>801869</v>
      </c>
      <c r="Y12" s="220">
        <f t="shared" si="1"/>
        <v>4872757</v>
      </c>
    </row>
    <row r="13" spans="1:25" s="214" customFormat="1" ht="12.75">
      <c r="A13" s="214">
        <v>8</v>
      </c>
      <c r="B13" s="215">
        <v>2018</v>
      </c>
      <c r="C13" s="216">
        <f t="shared" si="2"/>
        <v>10508500</v>
      </c>
      <c r="D13" s="216"/>
      <c r="E13" s="216">
        <f t="shared" si="18"/>
        <v>10508500</v>
      </c>
      <c r="F13" s="216"/>
      <c r="G13" s="216">
        <f t="shared" si="3"/>
        <v>10508500</v>
      </c>
      <c r="H13" s="216"/>
      <c r="I13" s="216">
        <f t="shared" si="4"/>
        <v>10508500</v>
      </c>
      <c r="J13" s="216">
        <v>4321242</v>
      </c>
      <c r="K13" s="217">
        <f t="shared" si="5"/>
        <v>6187258</v>
      </c>
      <c r="L13" s="216">
        <f t="shared" si="6"/>
        <v>49088</v>
      </c>
      <c r="M13" s="216">
        <f t="shared" si="7"/>
        <v>44337</v>
      </c>
      <c r="N13" s="216">
        <f t="shared" si="8"/>
        <v>49088</v>
      </c>
      <c r="O13" s="216">
        <f t="shared" si="9"/>
        <v>47504</v>
      </c>
      <c r="P13" s="216">
        <f t="shared" si="10"/>
        <v>49088</v>
      </c>
      <c r="Q13" s="216">
        <f t="shared" si="11"/>
        <v>47504</v>
      </c>
      <c r="R13" s="216">
        <f t="shared" si="12"/>
        <v>49088</v>
      </c>
      <c r="S13" s="218">
        <f t="shared" si="13"/>
        <v>49088</v>
      </c>
      <c r="T13" s="218">
        <f t="shared" si="14"/>
        <v>47504</v>
      </c>
      <c r="U13" s="216">
        <f t="shared" si="15"/>
        <v>49088</v>
      </c>
      <c r="V13" s="218">
        <f t="shared" si="16"/>
        <v>47504</v>
      </c>
      <c r="W13" s="218">
        <f t="shared" si="17"/>
        <v>49088</v>
      </c>
      <c r="X13" s="219">
        <f t="shared" si="0"/>
        <v>577969</v>
      </c>
      <c r="Y13" s="220">
        <f t="shared" si="1"/>
        <v>4899211</v>
      </c>
    </row>
    <row r="14" spans="1:25" s="214" customFormat="1" ht="12.75">
      <c r="A14" s="214">
        <v>9</v>
      </c>
      <c r="B14" s="215">
        <v>2019</v>
      </c>
      <c r="C14" s="216">
        <f t="shared" si="2"/>
        <v>6187258</v>
      </c>
      <c r="D14" s="216"/>
      <c r="E14" s="216">
        <f t="shared" si="18"/>
        <v>6187258</v>
      </c>
      <c r="F14" s="216"/>
      <c r="G14" s="216">
        <f t="shared" si="3"/>
        <v>6187258</v>
      </c>
      <c r="H14" s="216"/>
      <c r="I14" s="216">
        <f t="shared" si="4"/>
        <v>6187258</v>
      </c>
      <c r="J14" s="216">
        <v>1378758</v>
      </c>
      <c r="K14" s="217">
        <f t="shared" si="5"/>
        <v>4808500</v>
      </c>
      <c r="L14" s="216">
        <f t="shared" si="6"/>
        <v>28902</v>
      </c>
      <c r="M14" s="216">
        <f t="shared" si="7"/>
        <v>26105</v>
      </c>
      <c r="N14" s="216">
        <f t="shared" si="8"/>
        <v>28902</v>
      </c>
      <c r="O14" s="216">
        <f t="shared" si="9"/>
        <v>27970</v>
      </c>
      <c r="P14" s="216">
        <f t="shared" si="10"/>
        <v>28902</v>
      </c>
      <c r="Q14" s="216">
        <f t="shared" si="11"/>
        <v>27970</v>
      </c>
      <c r="R14" s="216">
        <f t="shared" si="12"/>
        <v>28902</v>
      </c>
      <c r="S14" s="218">
        <f t="shared" si="13"/>
        <v>28902</v>
      </c>
      <c r="T14" s="218">
        <f t="shared" si="14"/>
        <v>27970</v>
      </c>
      <c r="U14" s="216">
        <f t="shared" si="15"/>
        <v>28902</v>
      </c>
      <c r="V14" s="218">
        <f t="shared" si="16"/>
        <v>27970</v>
      </c>
      <c r="W14" s="218">
        <f t="shared" si="17"/>
        <v>28902</v>
      </c>
      <c r="X14" s="219">
        <f t="shared" si="0"/>
        <v>340299</v>
      </c>
      <c r="Y14" s="220">
        <f t="shared" si="1"/>
        <v>1719057</v>
      </c>
    </row>
    <row r="15" spans="1:25" s="214" customFormat="1" ht="12.75">
      <c r="A15" s="214">
        <v>10</v>
      </c>
      <c r="B15" s="215">
        <v>2020</v>
      </c>
      <c r="C15" s="216">
        <f t="shared" si="2"/>
        <v>4808500</v>
      </c>
      <c r="D15" s="216"/>
      <c r="E15" s="216">
        <f t="shared" si="18"/>
        <v>4808500</v>
      </c>
      <c r="F15" s="216"/>
      <c r="G15" s="216">
        <f t="shared" si="3"/>
        <v>4808500</v>
      </c>
      <c r="H15" s="216"/>
      <c r="I15" s="216">
        <f t="shared" si="4"/>
        <v>4808500</v>
      </c>
      <c r="J15" s="216">
        <v>3672000</v>
      </c>
      <c r="K15" s="217">
        <f t="shared" si="5"/>
        <v>1136500</v>
      </c>
      <c r="L15" s="216">
        <f t="shared" si="6"/>
        <v>22462</v>
      </c>
      <c r="M15" s="216">
        <f t="shared" si="7"/>
        <v>20288</v>
      </c>
      <c r="N15" s="216">
        <f t="shared" si="8"/>
        <v>22462</v>
      </c>
      <c r="O15" s="216">
        <f t="shared" si="9"/>
        <v>21737</v>
      </c>
      <c r="P15" s="216">
        <f t="shared" si="10"/>
        <v>22462</v>
      </c>
      <c r="Q15" s="216">
        <f t="shared" si="11"/>
        <v>21737</v>
      </c>
      <c r="R15" s="216">
        <f t="shared" si="12"/>
        <v>22462</v>
      </c>
      <c r="S15" s="218">
        <f t="shared" si="13"/>
        <v>22462</v>
      </c>
      <c r="T15" s="218">
        <f t="shared" si="14"/>
        <v>21737</v>
      </c>
      <c r="U15" s="216">
        <f t="shared" si="15"/>
        <v>22462</v>
      </c>
      <c r="V15" s="218">
        <f t="shared" si="16"/>
        <v>21737</v>
      </c>
      <c r="W15" s="218">
        <f t="shared" si="17"/>
        <v>22462</v>
      </c>
      <c r="X15" s="219">
        <f t="shared" si="0"/>
        <v>264470</v>
      </c>
      <c r="Y15" s="220">
        <f t="shared" si="1"/>
        <v>3936470</v>
      </c>
    </row>
    <row r="16" spans="1:25" s="214" customFormat="1" ht="12.75">
      <c r="A16" s="214">
        <v>11</v>
      </c>
      <c r="B16" s="215">
        <v>2021</v>
      </c>
      <c r="C16" s="216">
        <f t="shared" si="2"/>
        <v>1136500</v>
      </c>
      <c r="D16" s="216"/>
      <c r="E16" s="216">
        <f t="shared" si="18"/>
        <v>1136500</v>
      </c>
      <c r="F16" s="216"/>
      <c r="G16" s="216">
        <f t="shared" si="3"/>
        <v>1136500</v>
      </c>
      <c r="H16" s="216"/>
      <c r="I16" s="216">
        <f t="shared" si="4"/>
        <v>1136500</v>
      </c>
      <c r="J16" s="216">
        <v>1136500</v>
      </c>
      <c r="K16" s="217">
        <f t="shared" si="5"/>
        <v>0</v>
      </c>
      <c r="L16" s="216">
        <f t="shared" si="6"/>
        <v>5309</v>
      </c>
      <c r="M16" s="216">
        <f t="shared" si="7"/>
        <v>4795</v>
      </c>
      <c r="N16" s="216">
        <f t="shared" si="8"/>
        <v>5309</v>
      </c>
      <c r="O16" s="216">
        <f t="shared" si="9"/>
        <v>5138</v>
      </c>
      <c r="P16" s="216">
        <f t="shared" si="10"/>
        <v>5309</v>
      </c>
      <c r="Q16" s="216">
        <f t="shared" si="11"/>
        <v>5138</v>
      </c>
      <c r="R16" s="216">
        <f t="shared" si="12"/>
        <v>5309</v>
      </c>
      <c r="S16" s="218">
        <f t="shared" si="13"/>
        <v>5309</v>
      </c>
      <c r="T16" s="218">
        <f t="shared" si="14"/>
        <v>5138</v>
      </c>
      <c r="U16" s="216">
        <f t="shared" si="15"/>
        <v>5309</v>
      </c>
      <c r="V16" s="218">
        <f t="shared" si="16"/>
        <v>5138</v>
      </c>
      <c r="W16" s="218">
        <f t="shared" si="17"/>
        <v>5309</v>
      </c>
      <c r="X16" s="219">
        <f t="shared" si="0"/>
        <v>62510</v>
      </c>
      <c r="Y16" s="220">
        <f t="shared" si="1"/>
        <v>1199010</v>
      </c>
    </row>
    <row r="17" spans="1:25" s="214" customFormat="1" ht="12.75">
      <c r="A17" s="214">
        <v>12</v>
      </c>
      <c r="B17" s="215">
        <v>2022</v>
      </c>
      <c r="C17" s="216">
        <f t="shared" si="2"/>
        <v>0</v>
      </c>
      <c r="D17" s="216"/>
      <c r="E17" s="216">
        <f t="shared" si="18"/>
        <v>0</v>
      </c>
      <c r="F17" s="216"/>
      <c r="G17" s="216">
        <f t="shared" si="3"/>
        <v>0</v>
      </c>
      <c r="H17" s="216"/>
      <c r="I17" s="216">
        <f t="shared" si="4"/>
        <v>0</v>
      </c>
      <c r="J17" s="216"/>
      <c r="K17" s="217">
        <f t="shared" si="5"/>
        <v>0</v>
      </c>
      <c r="L17" s="216">
        <f t="shared" si="6"/>
        <v>0</v>
      </c>
      <c r="M17" s="216">
        <f t="shared" si="7"/>
        <v>0</v>
      </c>
      <c r="N17" s="216">
        <f t="shared" si="8"/>
        <v>0</v>
      </c>
      <c r="O17" s="216">
        <f t="shared" si="9"/>
        <v>0</v>
      </c>
      <c r="P17" s="216">
        <f t="shared" si="10"/>
        <v>0</v>
      </c>
      <c r="Q17" s="216">
        <f t="shared" si="11"/>
        <v>0</v>
      </c>
      <c r="R17" s="216">
        <f t="shared" si="12"/>
        <v>0</v>
      </c>
      <c r="S17" s="218">
        <f t="shared" si="13"/>
        <v>0</v>
      </c>
      <c r="T17" s="218">
        <f t="shared" si="14"/>
        <v>0</v>
      </c>
      <c r="U17" s="216">
        <f t="shared" si="15"/>
        <v>0</v>
      </c>
      <c r="V17" s="218">
        <f t="shared" si="16"/>
        <v>0</v>
      </c>
      <c r="W17" s="218">
        <f t="shared" si="17"/>
        <v>0</v>
      </c>
      <c r="X17" s="219">
        <f t="shared" si="0"/>
        <v>0</v>
      </c>
      <c r="Y17" s="220">
        <f t="shared" si="1"/>
        <v>0</v>
      </c>
    </row>
    <row r="18" spans="1:25" s="214" customFormat="1" ht="12.75">
      <c r="A18" s="214">
        <v>13</v>
      </c>
      <c r="B18" s="215">
        <v>2023</v>
      </c>
      <c r="C18" s="216">
        <f t="shared" si="2"/>
        <v>0</v>
      </c>
      <c r="D18" s="216"/>
      <c r="E18" s="216">
        <f t="shared" si="18"/>
        <v>0</v>
      </c>
      <c r="F18" s="216"/>
      <c r="G18" s="216">
        <f t="shared" si="3"/>
        <v>0</v>
      </c>
      <c r="H18" s="216"/>
      <c r="I18" s="216">
        <f t="shared" si="4"/>
        <v>0</v>
      </c>
      <c r="J18" s="216"/>
      <c r="K18" s="217">
        <f t="shared" si="5"/>
        <v>0</v>
      </c>
      <c r="L18" s="216">
        <f t="shared" si="6"/>
        <v>0</v>
      </c>
      <c r="M18" s="216">
        <f t="shared" si="7"/>
        <v>0</v>
      </c>
      <c r="N18" s="216">
        <f t="shared" si="8"/>
        <v>0</v>
      </c>
      <c r="O18" s="216">
        <f t="shared" si="9"/>
        <v>0</v>
      </c>
      <c r="P18" s="216">
        <f t="shared" si="10"/>
        <v>0</v>
      </c>
      <c r="Q18" s="216">
        <f t="shared" si="11"/>
        <v>0</v>
      </c>
      <c r="R18" s="216">
        <f t="shared" si="12"/>
        <v>0</v>
      </c>
      <c r="S18" s="218">
        <f t="shared" si="13"/>
        <v>0</v>
      </c>
      <c r="T18" s="218">
        <f t="shared" si="14"/>
        <v>0</v>
      </c>
      <c r="U18" s="216">
        <f t="shared" si="15"/>
        <v>0</v>
      </c>
      <c r="V18" s="218">
        <f t="shared" si="16"/>
        <v>0</v>
      </c>
      <c r="W18" s="218">
        <f t="shared" si="17"/>
        <v>0</v>
      </c>
      <c r="X18" s="219">
        <f t="shared" si="0"/>
        <v>0</v>
      </c>
      <c r="Y18" s="220">
        <f t="shared" si="1"/>
        <v>0</v>
      </c>
    </row>
    <row r="19" spans="1:25" s="214" customFormat="1" ht="12.75">
      <c r="A19" s="214">
        <v>14</v>
      </c>
      <c r="B19" s="215">
        <v>2024</v>
      </c>
      <c r="C19" s="216">
        <f t="shared" si="2"/>
        <v>0</v>
      </c>
      <c r="D19" s="216"/>
      <c r="E19" s="216">
        <f t="shared" si="18"/>
        <v>0</v>
      </c>
      <c r="F19" s="216"/>
      <c r="G19" s="216">
        <f t="shared" si="3"/>
        <v>0</v>
      </c>
      <c r="H19" s="216"/>
      <c r="I19" s="216">
        <f t="shared" si="4"/>
        <v>0</v>
      </c>
      <c r="J19" s="216"/>
      <c r="K19" s="217">
        <f t="shared" si="5"/>
        <v>0</v>
      </c>
      <c r="L19" s="216">
        <f t="shared" si="6"/>
        <v>0</v>
      </c>
      <c r="M19" s="216">
        <f t="shared" si="7"/>
        <v>0</v>
      </c>
      <c r="N19" s="216">
        <f t="shared" si="8"/>
        <v>0</v>
      </c>
      <c r="O19" s="216">
        <f t="shared" si="9"/>
        <v>0</v>
      </c>
      <c r="P19" s="216">
        <f t="shared" si="10"/>
        <v>0</v>
      </c>
      <c r="Q19" s="216">
        <f t="shared" si="11"/>
        <v>0</v>
      </c>
      <c r="R19" s="216">
        <f t="shared" si="12"/>
        <v>0</v>
      </c>
      <c r="S19" s="218">
        <f t="shared" si="13"/>
        <v>0</v>
      </c>
      <c r="T19" s="218">
        <f t="shared" si="14"/>
        <v>0</v>
      </c>
      <c r="U19" s="216">
        <f t="shared" si="15"/>
        <v>0</v>
      </c>
      <c r="V19" s="218">
        <f t="shared" si="16"/>
        <v>0</v>
      </c>
      <c r="W19" s="218">
        <f t="shared" si="17"/>
        <v>0</v>
      </c>
      <c r="X19" s="219">
        <f t="shared" si="0"/>
        <v>0</v>
      </c>
      <c r="Y19" s="220">
        <f t="shared" si="1"/>
        <v>0</v>
      </c>
    </row>
    <row r="20" spans="1:25" s="214" customFormat="1" ht="12.75">
      <c r="A20" s="214">
        <v>15</v>
      </c>
      <c r="B20" s="215">
        <v>2025</v>
      </c>
      <c r="C20" s="216">
        <f t="shared" si="2"/>
        <v>0</v>
      </c>
      <c r="D20" s="216"/>
      <c r="E20" s="216">
        <f t="shared" si="18"/>
        <v>0</v>
      </c>
      <c r="F20" s="216"/>
      <c r="G20" s="216">
        <f t="shared" si="3"/>
        <v>0</v>
      </c>
      <c r="H20" s="216"/>
      <c r="I20" s="216">
        <f t="shared" si="4"/>
        <v>0</v>
      </c>
      <c r="J20" s="216"/>
      <c r="K20" s="217">
        <f t="shared" si="5"/>
        <v>0</v>
      </c>
      <c r="L20" s="216">
        <f t="shared" si="6"/>
        <v>0</v>
      </c>
      <c r="M20" s="216">
        <f t="shared" si="7"/>
        <v>0</v>
      </c>
      <c r="N20" s="216">
        <f t="shared" si="8"/>
        <v>0</v>
      </c>
      <c r="O20" s="216">
        <f t="shared" si="9"/>
        <v>0</v>
      </c>
      <c r="P20" s="216">
        <f t="shared" si="10"/>
        <v>0</v>
      </c>
      <c r="Q20" s="216">
        <f t="shared" si="11"/>
        <v>0</v>
      </c>
      <c r="R20" s="216">
        <f t="shared" si="12"/>
        <v>0</v>
      </c>
      <c r="S20" s="218">
        <f t="shared" si="13"/>
        <v>0</v>
      </c>
      <c r="T20" s="218">
        <f t="shared" si="14"/>
        <v>0</v>
      </c>
      <c r="U20" s="216">
        <f t="shared" si="15"/>
        <v>0</v>
      </c>
      <c r="V20" s="218">
        <f t="shared" si="16"/>
        <v>0</v>
      </c>
      <c r="W20" s="218">
        <f t="shared" si="17"/>
        <v>0</v>
      </c>
      <c r="X20" s="219">
        <f t="shared" si="0"/>
        <v>0</v>
      </c>
      <c r="Y20" s="220">
        <f t="shared" si="1"/>
        <v>0</v>
      </c>
    </row>
    <row r="21" spans="1:25" s="214" customFormat="1" ht="12.75">
      <c r="A21" s="214">
        <v>16</v>
      </c>
      <c r="B21" s="215">
        <v>2026</v>
      </c>
      <c r="C21" s="216">
        <f t="shared" si="2"/>
        <v>0</v>
      </c>
      <c r="D21" s="216"/>
      <c r="E21" s="216">
        <f t="shared" si="18"/>
        <v>0</v>
      </c>
      <c r="F21" s="216"/>
      <c r="G21" s="216">
        <f t="shared" si="3"/>
        <v>0</v>
      </c>
      <c r="H21" s="216"/>
      <c r="I21" s="216">
        <f t="shared" si="4"/>
        <v>0</v>
      </c>
      <c r="J21" s="216"/>
      <c r="K21" s="217">
        <f t="shared" si="5"/>
        <v>0</v>
      </c>
      <c r="L21" s="216">
        <f t="shared" si="6"/>
        <v>0</v>
      </c>
      <c r="M21" s="216">
        <f t="shared" si="7"/>
        <v>0</v>
      </c>
      <c r="N21" s="216">
        <f t="shared" si="8"/>
        <v>0</v>
      </c>
      <c r="O21" s="216">
        <f t="shared" si="9"/>
        <v>0</v>
      </c>
      <c r="P21" s="216">
        <f t="shared" si="10"/>
        <v>0</v>
      </c>
      <c r="Q21" s="216">
        <f t="shared" si="11"/>
        <v>0</v>
      </c>
      <c r="R21" s="216">
        <f t="shared" si="12"/>
        <v>0</v>
      </c>
      <c r="S21" s="218">
        <f t="shared" si="13"/>
        <v>0</v>
      </c>
      <c r="T21" s="218">
        <f t="shared" si="14"/>
        <v>0</v>
      </c>
      <c r="U21" s="216">
        <f t="shared" si="15"/>
        <v>0</v>
      </c>
      <c r="V21" s="218">
        <f t="shared" si="16"/>
        <v>0</v>
      </c>
      <c r="W21" s="218">
        <f t="shared" si="17"/>
        <v>0</v>
      </c>
      <c r="X21" s="219">
        <f t="shared" si="0"/>
        <v>0</v>
      </c>
      <c r="Y21" s="220">
        <f t="shared" si="1"/>
        <v>0</v>
      </c>
    </row>
    <row r="22" spans="1:25" s="214" customFormat="1" ht="12.75">
      <c r="A22" s="214">
        <v>17</v>
      </c>
      <c r="B22" s="215">
        <v>2027</v>
      </c>
      <c r="C22" s="216"/>
      <c r="D22" s="216"/>
      <c r="E22" s="216">
        <f t="shared" si="18"/>
        <v>0</v>
      </c>
      <c r="F22" s="216"/>
      <c r="G22" s="216">
        <f t="shared" si="3"/>
        <v>0</v>
      </c>
      <c r="H22" s="216"/>
      <c r="I22" s="216">
        <f t="shared" si="4"/>
        <v>0</v>
      </c>
      <c r="J22" s="216"/>
      <c r="K22" s="217">
        <f t="shared" si="5"/>
        <v>0</v>
      </c>
      <c r="L22" s="216">
        <f t="shared" si="6"/>
        <v>0</v>
      </c>
      <c r="M22" s="216">
        <f t="shared" si="7"/>
        <v>0</v>
      </c>
      <c r="N22" s="216">
        <f t="shared" si="8"/>
        <v>0</v>
      </c>
      <c r="O22" s="216">
        <f t="shared" si="9"/>
        <v>0</v>
      </c>
      <c r="P22" s="216">
        <f t="shared" si="10"/>
        <v>0</v>
      </c>
      <c r="Q22" s="216">
        <f t="shared" si="11"/>
        <v>0</v>
      </c>
      <c r="R22" s="216">
        <f t="shared" si="12"/>
        <v>0</v>
      </c>
      <c r="S22" s="218">
        <f t="shared" si="13"/>
        <v>0</v>
      </c>
      <c r="T22" s="218">
        <f t="shared" si="14"/>
        <v>0</v>
      </c>
      <c r="U22" s="216">
        <f t="shared" si="15"/>
        <v>0</v>
      </c>
      <c r="V22" s="218">
        <f t="shared" si="16"/>
        <v>0</v>
      </c>
      <c r="W22" s="218">
        <f t="shared" si="17"/>
        <v>0</v>
      </c>
      <c r="X22" s="219"/>
      <c r="Y22" s="220"/>
    </row>
    <row r="23" spans="1:25" s="214" customFormat="1" ht="12.75">
      <c r="A23" s="214">
        <v>18</v>
      </c>
      <c r="B23" s="215">
        <v>2028</v>
      </c>
      <c r="C23" s="216"/>
      <c r="D23" s="216"/>
      <c r="E23" s="216">
        <f t="shared" si="18"/>
        <v>0</v>
      </c>
      <c r="F23" s="216"/>
      <c r="G23" s="216">
        <f t="shared" si="3"/>
        <v>0</v>
      </c>
      <c r="H23" s="216"/>
      <c r="I23" s="216">
        <f t="shared" si="4"/>
        <v>0</v>
      </c>
      <c r="J23" s="216"/>
      <c r="K23" s="217">
        <f t="shared" si="5"/>
        <v>0</v>
      </c>
      <c r="L23" s="216">
        <f t="shared" si="6"/>
        <v>0</v>
      </c>
      <c r="M23" s="216">
        <f t="shared" si="7"/>
        <v>0</v>
      </c>
      <c r="N23" s="216">
        <f t="shared" si="8"/>
        <v>0</v>
      </c>
      <c r="O23" s="216">
        <f t="shared" si="9"/>
        <v>0</v>
      </c>
      <c r="P23" s="216">
        <f t="shared" si="10"/>
        <v>0</v>
      </c>
      <c r="Q23" s="216">
        <f t="shared" si="11"/>
        <v>0</v>
      </c>
      <c r="R23" s="216">
        <f t="shared" si="12"/>
        <v>0</v>
      </c>
      <c r="S23" s="218">
        <f t="shared" si="13"/>
        <v>0</v>
      </c>
      <c r="T23" s="218">
        <f t="shared" si="14"/>
        <v>0</v>
      </c>
      <c r="U23" s="216">
        <f t="shared" si="15"/>
        <v>0</v>
      </c>
      <c r="V23" s="218">
        <f t="shared" si="16"/>
        <v>0</v>
      </c>
      <c r="W23" s="218">
        <f t="shared" si="17"/>
        <v>0</v>
      </c>
      <c r="X23" s="219"/>
      <c r="Y23" s="220"/>
    </row>
    <row r="24" spans="1:25" ht="12.75">
      <c r="A24" s="221"/>
      <c r="B24" s="222"/>
      <c r="C24" s="223"/>
      <c r="D24" s="224"/>
      <c r="E24" s="224"/>
      <c r="F24" s="224"/>
      <c r="G24" s="224"/>
      <c r="H24" s="224"/>
      <c r="I24" s="224"/>
      <c r="J24" s="224"/>
      <c r="K24" s="225"/>
      <c r="L24" s="226">
        <f>ROUND(C24*5.93*31/36500,0)</f>
        <v>0</v>
      </c>
      <c r="M24" s="226">
        <f>ROUND(C24*5.93*28/36500,0)</f>
        <v>0</v>
      </c>
      <c r="N24" s="226">
        <f>ROUND(C24*5.93*31/36500,0)</f>
        <v>0</v>
      </c>
      <c r="O24" s="216">
        <f t="shared" si="9"/>
        <v>0</v>
      </c>
      <c r="P24" s="216">
        <f t="shared" si="10"/>
        <v>0</v>
      </c>
      <c r="Q24" s="216">
        <f t="shared" si="11"/>
        <v>0</v>
      </c>
      <c r="R24" s="216">
        <f t="shared" si="12"/>
        <v>0</v>
      </c>
      <c r="S24" s="218">
        <f t="shared" si="13"/>
        <v>0</v>
      </c>
      <c r="T24" s="218">
        <f t="shared" si="14"/>
        <v>0</v>
      </c>
      <c r="U24" s="226">
        <f>ROUND(G24*5.93*31/36500,0)</f>
        <v>0</v>
      </c>
      <c r="V24" s="218">
        <f t="shared" si="16"/>
        <v>0</v>
      </c>
      <c r="W24" s="218">
        <f t="shared" si="17"/>
        <v>0</v>
      </c>
      <c r="X24" s="227">
        <f>SUM(L24:W24)</f>
        <v>0</v>
      </c>
      <c r="Y24" s="228">
        <f>X24+D24+F24+H24+J24</f>
        <v>0</v>
      </c>
    </row>
    <row r="25" spans="2:25" s="229" customFormat="1" ht="13.5" thickBot="1">
      <c r="B25" s="230"/>
      <c r="C25" s="231"/>
      <c r="D25" s="232"/>
      <c r="E25" s="232"/>
      <c r="F25" s="232"/>
      <c r="G25" s="232"/>
      <c r="H25" s="232"/>
      <c r="I25" s="232"/>
      <c r="J25" s="232"/>
      <c r="K25" s="233"/>
      <c r="L25" s="232">
        <f>ROUND(C25*5.93*31/36500,0)</f>
        <v>0</v>
      </c>
      <c r="M25" s="232">
        <f>ROUND(C25*5.93*28/36500,0)</f>
        <v>0</v>
      </c>
      <c r="N25" s="232">
        <f>ROUND(C25*5.93*31/36500,0)</f>
        <v>0</v>
      </c>
      <c r="O25" s="232"/>
      <c r="P25" s="232"/>
      <c r="Q25" s="232"/>
      <c r="R25" s="232"/>
      <c r="S25" s="232"/>
      <c r="T25" s="232"/>
      <c r="U25" s="232"/>
      <c r="V25" s="232"/>
      <c r="W25" s="232"/>
      <c r="X25" s="234">
        <f>SUM(L25:W25)</f>
        <v>0</v>
      </c>
      <c r="Y25" s="228">
        <f>X25+D25+F25+H25+J25</f>
        <v>0</v>
      </c>
    </row>
    <row r="26" spans="4:25" ht="13.5" thickTop="1">
      <c r="D26" s="226">
        <f>SUM(D6:D25)</f>
        <v>0</v>
      </c>
      <c r="F26" s="226">
        <f>SUM(F5:F25)</f>
        <v>0</v>
      </c>
      <c r="H26" s="226">
        <f>SUM(H5:H25)</f>
        <v>0</v>
      </c>
      <c r="J26" s="226">
        <f>SUM(J7:J25)</f>
        <v>25672726</v>
      </c>
      <c r="N26" s="235"/>
      <c r="V26" s="236"/>
      <c r="X26" s="226">
        <f>SUM(X5:X25)</f>
        <v>7031845</v>
      </c>
      <c r="Y26" s="237">
        <f>SUM(Y5:Y25)</f>
        <v>34813471</v>
      </c>
    </row>
    <row r="27" ht="12.75">
      <c r="V27" s="238"/>
    </row>
    <row r="28" spans="3:24" ht="12.75">
      <c r="C28" t="s">
        <v>143</v>
      </c>
      <c r="X28" s="226"/>
    </row>
    <row r="29" spans="3:24" ht="12.75">
      <c r="C29" t="s">
        <v>192</v>
      </c>
      <c r="X29" s="226"/>
    </row>
    <row r="30" spans="3:24" ht="12.75">
      <c r="C30" t="s">
        <v>151</v>
      </c>
      <c r="X30" s="226"/>
    </row>
    <row r="31" spans="3:20" ht="12.75">
      <c r="C31" t="s">
        <v>144</v>
      </c>
      <c r="L31" s="226"/>
      <c r="M31" s="226"/>
      <c r="N31" s="226"/>
      <c r="O31" s="226"/>
      <c r="P31" s="226"/>
      <c r="Q31" s="226"/>
      <c r="R31" s="226"/>
      <c r="S31" s="226"/>
      <c r="T31" s="226"/>
    </row>
    <row r="32" ht="12.75">
      <c r="C32" t="s">
        <v>152</v>
      </c>
    </row>
    <row r="33" ht="12.75">
      <c r="C33" t="s">
        <v>193</v>
      </c>
    </row>
    <row r="34" spans="3:17" ht="12.75">
      <c r="C34" t="s">
        <v>145</v>
      </c>
      <c r="Q34" s="226"/>
    </row>
    <row r="35" spans="3:4" ht="12.75">
      <c r="C35" t="s">
        <v>148</v>
      </c>
      <c r="D35" s="226">
        <v>9975900</v>
      </c>
    </row>
    <row r="36" spans="3:7" ht="12.75">
      <c r="C36" t="s">
        <v>149</v>
      </c>
      <c r="D36" s="226"/>
      <c r="G36" t="s">
        <v>146</v>
      </c>
    </row>
    <row r="37" spans="3:4" ht="12.75">
      <c r="C37" t="s">
        <v>150</v>
      </c>
      <c r="D37" s="353">
        <v>642544</v>
      </c>
    </row>
    <row r="38" spans="3:10" ht="13.5" thickBot="1">
      <c r="C38" t="s">
        <v>147</v>
      </c>
      <c r="D38" s="239">
        <v>1271750</v>
      </c>
      <c r="J38">
        <v>0</v>
      </c>
    </row>
    <row r="39" ht="12.75">
      <c r="D39" s="240">
        <f>SUM(D35:D38)</f>
        <v>11890194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Krystyna Jaranowska</cp:lastModifiedBy>
  <cp:lastPrinted>2011-03-21T11:54:58Z</cp:lastPrinted>
  <dcterms:created xsi:type="dcterms:W3CDTF">2009-10-11T13:25:47Z</dcterms:created>
  <dcterms:modified xsi:type="dcterms:W3CDTF">2011-03-21T11:54:59Z</dcterms:modified>
  <cp:category/>
  <cp:version/>
  <cp:contentType/>
  <cp:contentStatus/>
</cp:coreProperties>
</file>